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CIZIMLER\01-CELİK ABAKLAR\CELIK PROFİL TABLOSU\"/>
    </mc:Choice>
  </mc:AlternateContent>
  <bookViews>
    <workbookView xWindow="480" yWindow="108" windowWidth="15192" windowHeight="9216" tabRatio="904" activeTab="7"/>
  </bookViews>
  <sheets>
    <sheet name="CIVATA SOMUN RONDELA" sheetId="25" r:id="rId1"/>
    <sheet name="SIGMA" sheetId="23" r:id="rId2"/>
    <sheet name="DEMİR" sheetId="1" r:id="rId3"/>
    <sheet name="HASIR ÇELİK" sheetId="2" r:id="rId4"/>
    <sheet name="NPI PRF." sheetId="3" r:id="rId5"/>
    <sheet name="U PRF." sheetId="4" r:id="rId6"/>
    <sheet name="L PRF." sheetId="5" r:id="rId7"/>
    <sheet name="HE" sheetId="26" r:id="rId8"/>
    <sheet name="KUTU PRF." sheetId="6" r:id="rId9"/>
    <sheet name="ÇELİK LEVHA" sheetId="7" r:id="rId10"/>
    <sheet name="LAMA" sheetId="8" r:id="rId11"/>
    <sheet name="METAL LEVHA GENEL" sheetId="9" r:id="rId12"/>
    <sheet name="LEVHALAR" sheetId="10" r:id="rId13"/>
    <sheet name="PLATİNA" sheetId="11" r:id="rId14"/>
    <sheet name="T PRF." sheetId="12" r:id="rId15"/>
    <sheet name="OMEGA PRF." sheetId="13" r:id="rId16"/>
    <sheet name="BORULAR" sheetId="14" r:id="rId17"/>
    <sheet name="BORULAR-2" sheetId="24" r:id="rId18"/>
    <sheet name="BETON" sheetId="15" r:id="rId19"/>
    <sheet name="NAKLİYE İÇİN YOĞUNLUKLAR" sheetId="16" r:id="rId20"/>
    <sheet name="MLZ. YOĞUNLUK" sheetId="17" r:id="rId21"/>
    <sheet name="YAPI YAKLAŞIK MALİYET" sheetId="18" r:id="rId22"/>
    <sheet name="PRATİK KABULLER" sheetId="21" r:id="rId23"/>
    <sheet name="ÇELİK HASIR-KESİT TABLOSU" sheetId="19" r:id="rId24"/>
    <sheet name="DEMİR KESİT ALANLARI" sheetId="20" r:id="rId25"/>
    <sheet name="BAKLAVALI SACLAR" sheetId="22" r:id="rId26"/>
  </sheets>
  <definedNames>
    <definedName name="_xlnm.Print_Area" localSheetId="25">'BAKLAVALI SACLAR'!#REF!</definedName>
    <definedName name="_xlnm.Print_Area" localSheetId="18">BETON!$B$1:$G$27</definedName>
    <definedName name="_xlnm.Print_Area" localSheetId="16">BORULAR!$B$1:$L$15</definedName>
    <definedName name="_xlnm.Print_Area" localSheetId="23">'ÇELİK HASIR-KESİT TABLOSU'!$B$1:$AA$30</definedName>
    <definedName name="_xlnm.Print_Area" localSheetId="9">'ÇELİK LEVHA'!$B$1:$R$35</definedName>
    <definedName name="_xlnm.Print_Area" localSheetId="2">DEMİR!$B$1:$F$27</definedName>
    <definedName name="_xlnm.Print_Area" localSheetId="24">'DEMİR KESİT ALANLARI'!$B$1:$M$26</definedName>
    <definedName name="_xlnm.Print_Area" localSheetId="3">'HASIR ÇELİK'!$B$1:$P$81</definedName>
    <definedName name="_xlnm.Print_Area" localSheetId="8">'KUTU PRF.'!$A$1:$AD$54</definedName>
    <definedName name="_xlnm.Print_Area" localSheetId="6">'L PRF.'!$B$1:$K$111</definedName>
    <definedName name="_xlnm.Print_Area" localSheetId="10">LAMA!$B$1:$Z$28</definedName>
    <definedName name="_xlnm.Print_Area" localSheetId="12">LEVHALAR!$B$1:$R$39</definedName>
    <definedName name="_xlnm.Print_Area" localSheetId="11">'METAL LEVHA GENEL'!$B$1:$I$72</definedName>
    <definedName name="_xlnm.Print_Area" localSheetId="20">'MLZ. YOĞUNLUK'!$B$1:$K$29</definedName>
    <definedName name="_xlnm.Print_Area" localSheetId="19">'NAKLİYE İÇİN YOĞUNLUKLAR'!$B$1:$J$18</definedName>
    <definedName name="_xlnm.Print_Area" localSheetId="4">'NPI PRF.'!$B$1:$J$26</definedName>
    <definedName name="_xlnm.Print_Area" localSheetId="15">'OMEGA PRF.'!$B$1:$H$5</definedName>
    <definedName name="_xlnm.Print_Area" localSheetId="13">PLATİNA!$B$1:$J$5</definedName>
    <definedName name="_xlnm.Print_Area" localSheetId="22">'PRATİK KABULLER'!$B$1:$I$30</definedName>
    <definedName name="_xlnm.Print_Area" localSheetId="14">'T PRF.'!$B$1:$H$7</definedName>
    <definedName name="_xlnm.Print_Area" localSheetId="5">'U PRF.'!$B$1:$J$27</definedName>
    <definedName name="_xlnm.Print_Area" localSheetId="21">'YAPI YAKLAŞIK MALİYET'!$B$1:$F$151</definedName>
    <definedName name="_xlnm.Print_Titles" localSheetId="3">'HASIR ÇELİK'!$1:$3</definedName>
    <definedName name="_xlnm.Print_Titles" localSheetId="6">'L PRF.'!$1:$3</definedName>
    <definedName name="Z_C0BE45DA_73C0_4B1E_ABFB_A0FAB57D4E46_.wvu.PrintArea" localSheetId="23" hidden="1">'ÇELİK HASIR-KESİT TABLOSU'!$B$1:$AA$30</definedName>
    <definedName name="Z_C0BE45DA_73C0_4B1E_ABFB_A0FAB57D4E46_.wvu.PrintArea" localSheetId="3" hidden="1">'HASIR ÇELİK'!$B$1:$T$140</definedName>
    <definedName name="Z_C0BE45DA_73C0_4B1E_ABFB_A0FAB57D4E46_.wvu.PrintArea" localSheetId="21" hidden="1">'YAPI YAKLAŞIK MALİYET'!$B$1:$E$151</definedName>
    <definedName name="Z_C0BE45DA_73C0_4B1E_ABFB_A0FAB57D4E46_.wvu.PrintTitles" localSheetId="3" hidden="1">'HASIR ÇELİK'!$1:$3</definedName>
  </definedNames>
  <calcPr calcId="162913"/>
  <customWorkbookViews>
    <customWorkbookView name="ATADEVRİM - Kişisel Görünüm" guid="{C0BE45DA-73C0-4B1E-ABFB-A0FAB57D4E46}" mergeInterval="0" personalView="1" maximized="1" windowWidth="1276" windowHeight="628" tabRatio="904" activeSheetId="1"/>
  </customWorkbookViews>
</workbook>
</file>

<file path=xl/calcChain.xml><?xml version="1.0" encoding="utf-8"?>
<calcChain xmlns="http://schemas.openxmlformats.org/spreadsheetml/2006/main">
  <c r="BE25" i="24" l="1"/>
  <c r="BE24" i="24"/>
  <c r="BE23" i="24"/>
  <c r="R51" i="23"/>
  <c r="N51" i="23"/>
  <c r="K51" i="23"/>
  <c r="I51" i="23"/>
  <c r="H51" i="23"/>
  <c r="G51" i="23"/>
  <c r="R50" i="23"/>
  <c r="N50" i="23"/>
  <c r="K50" i="23"/>
  <c r="I50" i="23"/>
  <c r="H50" i="23"/>
  <c r="G50" i="23"/>
  <c r="R49" i="23"/>
  <c r="N49" i="23"/>
  <c r="K49" i="23"/>
  <c r="I49" i="23"/>
  <c r="H49" i="23"/>
  <c r="G49" i="23"/>
  <c r="R48" i="23"/>
  <c r="N48" i="23"/>
  <c r="K48" i="23"/>
  <c r="I48" i="23"/>
  <c r="H48" i="23"/>
  <c r="G48" i="23"/>
  <c r="R47" i="23"/>
  <c r="N47" i="23"/>
  <c r="K47" i="23"/>
  <c r="I47" i="23"/>
  <c r="H47" i="23"/>
  <c r="G47" i="23"/>
  <c r="R46" i="23"/>
  <c r="N46" i="23"/>
  <c r="K46" i="23"/>
  <c r="I46" i="23"/>
  <c r="H46" i="23"/>
  <c r="G46" i="23"/>
  <c r="R45" i="23"/>
  <c r="N45" i="23"/>
  <c r="K45" i="23"/>
  <c r="I45" i="23"/>
  <c r="H45" i="23"/>
  <c r="G45" i="23"/>
  <c r="R44" i="23"/>
  <c r="N44" i="23"/>
  <c r="K44" i="23"/>
  <c r="I44" i="23"/>
  <c r="H44" i="23"/>
  <c r="G44" i="23"/>
  <c r="R43" i="23"/>
  <c r="N43" i="23"/>
  <c r="K43" i="23"/>
  <c r="I43" i="23"/>
  <c r="H43" i="23"/>
  <c r="G43" i="23"/>
  <c r="R42" i="23"/>
  <c r="N42" i="23"/>
  <c r="K42" i="23"/>
  <c r="I42" i="23"/>
  <c r="H42" i="23"/>
  <c r="G42" i="23"/>
  <c r="R41" i="23"/>
  <c r="N41" i="23"/>
  <c r="K41" i="23"/>
  <c r="I41" i="23"/>
  <c r="H41" i="23"/>
  <c r="G41" i="23"/>
  <c r="R40" i="23"/>
  <c r="N40" i="23"/>
  <c r="K40" i="23"/>
  <c r="I40" i="23"/>
  <c r="H40" i="23"/>
  <c r="G40" i="23"/>
  <c r="R39" i="23"/>
  <c r="N39" i="23"/>
  <c r="K39" i="23"/>
  <c r="I39" i="23"/>
  <c r="H39" i="23"/>
  <c r="G39" i="23"/>
  <c r="R38" i="23"/>
  <c r="N38" i="23"/>
  <c r="K38" i="23"/>
  <c r="I38" i="23"/>
  <c r="H38" i="23"/>
  <c r="G38" i="23"/>
  <c r="R37" i="23"/>
  <c r="N37" i="23"/>
  <c r="K37" i="23"/>
  <c r="I37" i="23"/>
  <c r="H37" i="23"/>
  <c r="G37" i="23"/>
  <c r="R36" i="23"/>
  <c r="N36" i="23"/>
  <c r="K36" i="23"/>
  <c r="I36" i="23"/>
  <c r="H36" i="23"/>
  <c r="G36" i="23"/>
  <c r="R35" i="23"/>
  <c r="N35" i="23"/>
  <c r="K35" i="23"/>
  <c r="I35" i="23"/>
  <c r="H35" i="23"/>
  <c r="G35" i="23"/>
  <c r="R34" i="23"/>
  <c r="N34" i="23"/>
  <c r="K34" i="23"/>
  <c r="I34" i="23"/>
  <c r="H34" i="23"/>
  <c r="G34" i="23"/>
  <c r="R33" i="23"/>
  <c r="N33" i="23"/>
  <c r="K33" i="23"/>
  <c r="I33" i="23"/>
  <c r="H33" i="23"/>
  <c r="G33" i="23"/>
  <c r="R32" i="23"/>
  <c r="N32" i="23"/>
  <c r="K32" i="23"/>
  <c r="I32" i="23"/>
  <c r="H32" i="23"/>
  <c r="G32" i="23"/>
  <c r="R31" i="23"/>
  <c r="N31" i="23"/>
  <c r="K31" i="23"/>
  <c r="I31" i="23"/>
  <c r="H31" i="23"/>
  <c r="G31" i="23"/>
  <c r="R30" i="23"/>
  <c r="N30" i="23"/>
  <c r="K30" i="23"/>
  <c r="I30" i="23"/>
  <c r="H30" i="23"/>
  <c r="G30" i="23"/>
  <c r="R29" i="23"/>
  <c r="N29" i="23"/>
  <c r="K29" i="23"/>
  <c r="I29" i="23"/>
  <c r="H29" i="23"/>
  <c r="G29" i="23"/>
  <c r="R28" i="23"/>
  <c r="N28" i="23"/>
  <c r="K28" i="23"/>
  <c r="I28" i="23"/>
  <c r="H28" i="23"/>
  <c r="G28" i="23"/>
  <c r="R27" i="23"/>
  <c r="N27" i="23"/>
  <c r="K27" i="23"/>
  <c r="I27" i="23"/>
  <c r="H27" i="23"/>
  <c r="G27" i="23"/>
  <c r="R26" i="23"/>
  <c r="N26" i="23"/>
  <c r="K26" i="23"/>
  <c r="I26" i="23"/>
  <c r="H26" i="23"/>
  <c r="G26" i="23"/>
  <c r="R25" i="23"/>
  <c r="N25" i="23"/>
  <c r="K25" i="23"/>
  <c r="I25" i="23"/>
  <c r="H25" i="23"/>
  <c r="G25" i="23"/>
  <c r="R24" i="23"/>
  <c r="N24" i="23"/>
  <c r="K24" i="23"/>
  <c r="I24" i="23"/>
  <c r="H24" i="23"/>
  <c r="G24" i="23"/>
  <c r="R23" i="23"/>
  <c r="N23" i="23"/>
  <c r="K23" i="23"/>
  <c r="I23" i="23"/>
  <c r="H23" i="23"/>
  <c r="G23" i="23"/>
  <c r="R22" i="23"/>
  <c r="N22" i="23"/>
  <c r="K22" i="23"/>
  <c r="I22" i="23"/>
  <c r="H22" i="23"/>
  <c r="G22" i="23"/>
  <c r="R21" i="23"/>
  <c r="N21" i="23"/>
  <c r="K21" i="23"/>
  <c r="I21" i="23"/>
  <c r="H21" i="23"/>
  <c r="G21" i="23"/>
  <c r="R20" i="23"/>
  <c r="N20" i="23"/>
  <c r="K20" i="23"/>
  <c r="I20" i="23"/>
  <c r="H20" i="23"/>
  <c r="G20" i="23"/>
  <c r="R19" i="23"/>
  <c r="N19" i="23"/>
  <c r="K19" i="23"/>
  <c r="I19" i="23"/>
  <c r="H19" i="23"/>
  <c r="G19" i="23"/>
  <c r="J9" i="22"/>
  <c r="I9" i="22"/>
  <c r="H9" i="22"/>
  <c r="G9" i="22"/>
  <c r="F9" i="22"/>
  <c r="E9" i="22"/>
  <c r="D9" i="22"/>
  <c r="C9" i="22"/>
  <c r="C4" i="20"/>
  <c r="D4" i="20"/>
  <c r="E4" i="20"/>
  <c r="F4" i="20"/>
  <c r="G4" i="20"/>
  <c r="H4" i="20"/>
  <c r="I4" i="20"/>
  <c r="J4" i="20"/>
  <c r="K4" i="20"/>
  <c r="L4" i="20"/>
  <c r="M4" i="20"/>
  <c r="C5" i="20"/>
  <c r="D5" i="20"/>
  <c r="E5" i="20"/>
  <c r="F5" i="20"/>
  <c r="G5" i="20"/>
  <c r="H5" i="20"/>
  <c r="I5" i="20"/>
  <c r="J5" i="20"/>
  <c r="K5" i="20"/>
  <c r="L5" i="20"/>
  <c r="M5" i="20"/>
  <c r="Q5" i="20"/>
  <c r="R5" i="20"/>
  <c r="S5" i="20"/>
  <c r="T5" i="20"/>
  <c r="U5" i="20"/>
  <c r="V5" i="20"/>
  <c r="W5" i="20"/>
  <c r="X5" i="20"/>
  <c r="Y5" i="20"/>
  <c r="Z5" i="20"/>
  <c r="AA5" i="20"/>
  <c r="C6" i="20"/>
  <c r="D6" i="20"/>
  <c r="E6" i="20"/>
  <c r="F6" i="20"/>
  <c r="G6" i="20"/>
  <c r="H6" i="20"/>
  <c r="I6" i="20"/>
  <c r="J6" i="20"/>
  <c r="K6" i="20"/>
  <c r="L6" i="20"/>
  <c r="M6" i="20"/>
  <c r="Q6" i="20"/>
  <c r="R6" i="20"/>
  <c r="S6" i="20"/>
  <c r="T6" i="20"/>
  <c r="U6" i="20"/>
  <c r="V6" i="20"/>
  <c r="W6" i="20"/>
  <c r="X6" i="20"/>
  <c r="Y6" i="20"/>
  <c r="Z6" i="20"/>
  <c r="AA6" i="20"/>
  <c r="C7" i="20"/>
  <c r="D7" i="20"/>
  <c r="E7" i="20"/>
  <c r="F7" i="20"/>
  <c r="G7" i="20"/>
  <c r="H7" i="20"/>
  <c r="I7" i="20"/>
  <c r="J7" i="20"/>
  <c r="K7" i="20"/>
  <c r="L7" i="20"/>
  <c r="M7" i="20"/>
  <c r="Q7" i="20"/>
  <c r="R7" i="20"/>
  <c r="S7" i="20"/>
  <c r="T7" i="20"/>
  <c r="U7" i="20"/>
  <c r="V7" i="20"/>
  <c r="W7" i="20"/>
  <c r="X7" i="20"/>
  <c r="Y7" i="20"/>
  <c r="Z7" i="20"/>
  <c r="AA7" i="20"/>
  <c r="C8" i="20"/>
  <c r="D8" i="20"/>
  <c r="E8" i="20"/>
  <c r="F8" i="20"/>
  <c r="G8" i="20"/>
  <c r="H8" i="20"/>
  <c r="I8" i="20"/>
  <c r="J8" i="20"/>
  <c r="K8" i="20"/>
  <c r="L8" i="20"/>
  <c r="M8" i="20"/>
  <c r="Q8" i="20"/>
  <c r="R8" i="20"/>
  <c r="S8" i="20"/>
  <c r="T8" i="20"/>
  <c r="U8" i="20"/>
  <c r="V8" i="20"/>
  <c r="W8" i="20"/>
  <c r="X8" i="20"/>
  <c r="Y8" i="20"/>
  <c r="Z8" i="20"/>
  <c r="AA8" i="20"/>
  <c r="C9" i="20"/>
  <c r="D9" i="20"/>
  <c r="E9" i="20"/>
  <c r="F9" i="20"/>
  <c r="G9" i="20"/>
  <c r="H9" i="20"/>
  <c r="I9" i="20"/>
  <c r="J9" i="20"/>
  <c r="K9" i="20"/>
  <c r="L9" i="20"/>
  <c r="M9" i="20"/>
  <c r="Q9" i="20"/>
  <c r="R9" i="20"/>
  <c r="S9" i="20"/>
  <c r="T9" i="20"/>
  <c r="U9" i="20"/>
  <c r="V9" i="20"/>
  <c r="W9" i="20"/>
  <c r="X9" i="20"/>
  <c r="Y9" i="20"/>
  <c r="Z9" i="20"/>
  <c r="AA9" i="20"/>
  <c r="C10" i="20"/>
  <c r="D10" i="20"/>
  <c r="E10" i="20"/>
  <c r="F10" i="20"/>
  <c r="G10" i="20"/>
  <c r="H10" i="20"/>
  <c r="I10" i="20"/>
  <c r="J10" i="20"/>
  <c r="K10" i="20"/>
  <c r="L10" i="20"/>
  <c r="M10" i="20"/>
  <c r="Q10" i="20"/>
  <c r="R10" i="20"/>
  <c r="S10" i="20"/>
  <c r="T10" i="20"/>
  <c r="U10" i="20"/>
  <c r="V10" i="20"/>
  <c r="W10" i="20"/>
  <c r="X10" i="20"/>
  <c r="Y10" i="20"/>
  <c r="Z10" i="20"/>
  <c r="AA10" i="20"/>
  <c r="C11" i="20"/>
  <c r="D11" i="20"/>
  <c r="E11" i="20"/>
  <c r="F11" i="20"/>
  <c r="G11" i="20"/>
  <c r="H11" i="20"/>
  <c r="I11" i="20"/>
  <c r="J11" i="20"/>
  <c r="K11" i="20"/>
  <c r="L11" i="20"/>
  <c r="M11" i="20"/>
  <c r="Q11" i="20"/>
  <c r="R11" i="20"/>
  <c r="S11" i="20"/>
  <c r="T11" i="20"/>
  <c r="U11" i="20"/>
  <c r="V11" i="20"/>
  <c r="W11" i="20"/>
  <c r="X11" i="20"/>
  <c r="Y11" i="20"/>
  <c r="Z11" i="20"/>
  <c r="AA11" i="20"/>
  <c r="C12" i="20"/>
  <c r="D12" i="20"/>
  <c r="E12" i="20"/>
  <c r="F12" i="20"/>
  <c r="G12" i="20"/>
  <c r="H12" i="20"/>
  <c r="I12" i="20"/>
  <c r="J12" i="20"/>
  <c r="K12" i="20"/>
  <c r="L12" i="20"/>
  <c r="M12" i="20"/>
  <c r="Q12" i="20"/>
  <c r="R12" i="20"/>
  <c r="S12" i="20"/>
  <c r="T12" i="20"/>
  <c r="U12" i="20"/>
  <c r="V12" i="20"/>
  <c r="W12" i="20"/>
  <c r="X12" i="20"/>
  <c r="Y12" i="20"/>
  <c r="Z12" i="20"/>
  <c r="AA12" i="20"/>
  <c r="C13" i="20"/>
  <c r="D13" i="20"/>
  <c r="E13" i="20"/>
  <c r="F13" i="20"/>
  <c r="G13" i="20"/>
  <c r="H13" i="20"/>
  <c r="I13" i="20"/>
  <c r="J13" i="20"/>
  <c r="K13" i="20"/>
  <c r="L13" i="20"/>
  <c r="M13" i="20"/>
  <c r="Q13" i="20"/>
  <c r="R13" i="20"/>
  <c r="S13" i="20"/>
  <c r="T13" i="20"/>
  <c r="U13" i="20"/>
  <c r="V13" i="20"/>
  <c r="W13" i="20"/>
  <c r="X13" i="20"/>
  <c r="Y13" i="20"/>
  <c r="Z13" i="20"/>
  <c r="AA13" i="20"/>
  <c r="C14" i="20"/>
  <c r="D14" i="20"/>
  <c r="E14" i="20"/>
  <c r="F14" i="20"/>
  <c r="G14" i="20"/>
  <c r="H14" i="20"/>
  <c r="I14" i="20"/>
  <c r="J14" i="20"/>
  <c r="K14" i="20"/>
  <c r="L14" i="20"/>
  <c r="M14" i="20"/>
  <c r="Q14" i="20"/>
  <c r="R14" i="20"/>
  <c r="S14" i="20"/>
  <c r="T14" i="20"/>
  <c r="U14" i="20"/>
  <c r="V14" i="20"/>
  <c r="W14" i="20"/>
  <c r="X14" i="20"/>
  <c r="Y14" i="20"/>
  <c r="Z14" i="20"/>
  <c r="AA14" i="20"/>
  <c r="C15" i="20"/>
  <c r="D15" i="20"/>
  <c r="E15" i="20"/>
  <c r="F15" i="20"/>
  <c r="G15" i="20"/>
  <c r="H15" i="20"/>
  <c r="I15" i="20"/>
  <c r="J15" i="20"/>
  <c r="K15" i="20"/>
  <c r="L15" i="20"/>
  <c r="M15" i="20"/>
  <c r="Q15" i="20"/>
  <c r="R15" i="20"/>
  <c r="S15" i="20"/>
  <c r="T15" i="20"/>
  <c r="U15" i="20"/>
  <c r="V15" i="20"/>
  <c r="W15" i="20"/>
  <c r="X15" i="20"/>
  <c r="Y15" i="20"/>
  <c r="Z15" i="20"/>
  <c r="AA15" i="20"/>
  <c r="C16" i="20"/>
  <c r="D16" i="20"/>
  <c r="E16" i="20"/>
  <c r="F16" i="20"/>
  <c r="G16" i="20"/>
  <c r="H16" i="20"/>
  <c r="I16" i="20"/>
  <c r="J16" i="20"/>
  <c r="K16" i="20"/>
  <c r="L16" i="20"/>
  <c r="M16" i="20"/>
  <c r="Q16" i="20"/>
  <c r="R16" i="20"/>
  <c r="S16" i="20"/>
  <c r="T16" i="20"/>
  <c r="U16" i="20"/>
  <c r="V16" i="20"/>
  <c r="W16" i="20"/>
  <c r="X16" i="20"/>
  <c r="Y16" i="20"/>
  <c r="Z16" i="20"/>
  <c r="AA16" i="20"/>
  <c r="C17" i="20"/>
  <c r="D17" i="20"/>
  <c r="E17" i="20"/>
  <c r="F17" i="20"/>
  <c r="G17" i="20"/>
  <c r="H17" i="20"/>
  <c r="I17" i="20"/>
  <c r="J17" i="20"/>
  <c r="K17" i="20"/>
  <c r="L17" i="20"/>
  <c r="M17" i="20"/>
  <c r="Q17" i="20"/>
  <c r="R17" i="20"/>
  <c r="S17" i="20"/>
  <c r="T17" i="20"/>
  <c r="U17" i="20"/>
  <c r="V17" i="20"/>
  <c r="W17" i="20"/>
  <c r="X17" i="20"/>
  <c r="Y17" i="20"/>
  <c r="Z17" i="20"/>
  <c r="AA17" i="20"/>
  <c r="C18" i="20"/>
  <c r="D18" i="20"/>
  <c r="E18" i="20"/>
  <c r="F18" i="20"/>
  <c r="G18" i="20"/>
  <c r="H18" i="20"/>
  <c r="I18" i="20"/>
  <c r="J18" i="20"/>
  <c r="K18" i="20"/>
  <c r="L18" i="20"/>
  <c r="M18" i="20"/>
  <c r="Q18" i="20"/>
  <c r="R18" i="20"/>
  <c r="S18" i="20"/>
  <c r="T18" i="20"/>
  <c r="U18" i="20"/>
  <c r="V18" i="20"/>
  <c r="W18" i="20"/>
  <c r="X18" i="20"/>
  <c r="Y18" i="20"/>
  <c r="Z18" i="20"/>
  <c r="AA18" i="20"/>
  <c r="C19" i="20"/>
  <c r="D19" i="20"/>
  <c r="E19" i="20"/>
  <c r="F19" i="20"/>
  <c r="G19" i="20"/>
  <c r="H19" i="20"/>
  <c r="I19" i="20"/>
  <c r="J19" i="20"/>
  <c r="K19" i="20"/>
  <c r="L19" i="20"/>
  <c r="M19" i="20"/>
  <c r="Q19" i="20"/>
  <c r="R19" i="20"/>
  <c r="S19" i="20"/>
  <c r="T19" i="20"/>
  <c r="U19" i="20"/>
  <c r="V19" i="20"/>
  <c r="W19" i="20"/>
  <c r="X19" i="20"/>
  <c r="Y19" i="20"/>
  <c r="Z19" i="20"/>
  <c r="AA19" i="20"/>
  <c r="C20" i="20"/>
  <c r="D20" i="20"/>
  <c r="E20" i="20"/>
  <c r="F20" i="20"/>
  <c r="G20" i="20"/>
  <c r="H20" i="20"/>
  <c r="I20" i="20"/>
  <c r="J20" i="20"/>
  <c r="K20" i="20"/>
  <c r="L20" i="20"/>
  <c r="M20" i="20"/>
  <c r="Q20" i="20"/>
  <c r="R20" i="20"/>
  <c r="S20" i="20"/>
  <c r="T20" i="20"/>
  <c r="U20" i="20"/>
  <c r="V20" i="20"/>
  <c r="W20" i="20"/>
  <c r="X20" i="20"/>
  <c r="Y20" i="20"/>
  <c r="Z20" i="20"/>
  <c r="AA20" i="20"/>
  <c r="C21" i="20"/>
  <c r="D21" i="20"/>
  <c r="E21" i="20"/>
  <c r="F21" i="20"/>
  <c r="G21" i="20"/>
  <c r="H21" i="20"/>
  <c r="I21" i="20"/>
  <c r="J21" i="20"/>
  <c r="K21" i="20"/>
  <c r="L21" i="20"/>
  <c r="M21" i="20"/>
  <c r="Q21" i="20"/>
  <c r="R21" i="20"/>
  <c r="S21" i="20"/>
  <c r="T21" i="20"/>
  <c r="U21" i="20"/>
  <c r="V21" i="20"/>
  <c r="W21" i="20"/>
  <c r="X21" i="20"/>
  <c r="Y21" i="20"/>
  <c r="Z21" i="20"/>
  <c r="AA21" i="20"/>
  <c r="C22" i="20"/>
  <c r="D22" i="20"/>
  <c r="E22" i="20"/>
  <c r="F22" i="20"/>
  <c r="G22" i="20"/>
  <c r="H22" i="20"/>
  <c r="I22" i="20"/>
  <c r="J22" i="20"/>
  <c r="K22" i="20"/>
  <c r="L22" i="20"/>
  <c r="M22" i="20"/>
  <c r="Q22" i="20"/>
  <c r="R22" i="20"/>
  <c r="S22" i="20"/>
  <c r="T22" i="20"/>
  <c r="U22" i="20"/>
  <c r="V22" i="20"/>
  <c r="W22" i="20"/>
  <c r="X22" i="20"/>
  <c r="Y22" i="20"/>
  <c r="Z22" i="20"/>
  <c r="AA22" i="20"/>
  <c r="C23" i="20"/>
  <c r="D23" i="20"/>
  <c r="E23" i="20"/>
  <c r="F23" i="20"/>
  <c r="G23" i="20"/>
  <c r="H23" i="20"/>
  <c r="I23" i="20"/>
  <c r="J23" i="20"/>
  <c r="K23" i="20"/>
  <c r="L23" i="20"/>
  <c r="M23" i="20"/>
  <c r="Q23" i="20"/>
  <c r="R23" i="20"/>
  <c r="S23" i="20"/>
  <c r="T23" i="20"/>
  <c r="U23" i="20"/>
  <c r="V23" i="20"/>
  <c r="W23" i="20"/>
  <c r="X23" i="20"/>
  <c r="Y23" i="20"/>
  <c r="Z23" i="20"/>
  <c r="AA23" i="20"/>
  <c r="C24" i="20"/>
  <c r="D24" i="20"/>
  <c r="E24" i="20"/>
  <c r="F24" i="20"/>
  <c r="G24" i="20"/>
  <c r="H24" i="20"/>
  <c r="I24" i="20"/>
  <c r="J24" i="20"/>
  <c r="K24" i="20"/>
  <c r="L24" i="20"/>
  <c r="M24" i="20"/>
  <c r="Q24" i="20"/>
  <c r="R24" i="20"/>
  <c r="S24" i="20"/>
  <c r="T24" i="20"/>
  <c r="U24" i="20"/>
  <c r="V24" i="20"/>
  <c r="W24" i="20"/>
  <c r="X24" i="20"/>
  <c r="Y24" i="20"/>
  <c r="Z24" i="20"/>
  <c r="AA24" i="20"/>
  <c r="C25" i="20"/>
  <c r="D25" i="20"/>
  <c r="E25" i="20"/>
  <c r="F25" i="20"/>
  <c r="G25" i="20"/>
  <c r="H25" i="20"/>
  <c r="I25" i="20"/>
  <c r="J25" i="20"/>
  <c r="K25" i="20"/>
  <c r="L25" i="20"/>
  <c r="M25" i="20"/>
  <c r="Q25" i="20"/>
  <c r="R25" i="20"/>
  <c r="S25" i="20"/>
  <c r="T25" i="20"/>
  <c r="U25" i="20"/>
  <c r="V25" i="20"/>
  <c r="W25" i="20"/>
  <c r="X25" i="20"/>
  <c r="Y25" i="20"/>
  <c r="Z25" i="20"/>
  <c r="AA25" i="20"/>
  <c r="C26" i="20"/>
  <c r="D26" i="20"/>
  <c r="E26" i="20"/>
  <c r="F26" i="20"/>
  <c r="G26" i="20"/>
  <c r="H26" i="20"/>
  <c r="I26" i="20"/>
  <c r="J26" i="20"/>
  <c r="K26" i="20"/>
  <c r="L26" i="20"/>
  <c r="M26" i="20"/>
  <c r="Q26" i="20"/>
  <c r="R26" i="20"/>
  <c r="S26" i="20"/>
  <c r="T26" i="20"/>
  <c r="U26" i="20"/>
  <c r="V26" i="20"/>
  <c r="W26" i="20"/>
  <c r="X26" i="20"/>
  <c r="Y26" i="20"/>
  <c r="Z26" i="20"/>
  <c r="AA26" i="20"/>
  <c r="Q27" i="20"/>
  <c r="R27" i="20"/>
  <c r="S27" i="20"/>
  <c r="T27" i="20"/>
  <c r="U27" i="20"/>
  <c r="V27" i="20"/>
  <c r="W27" i="20"/>
  <c r="X27" i="20"/>
  <c r="Y27" i="20"/>
  <c r="Z27" i="20"/>
  <c r="AA27" i="20"/>
  <c r="Q28" i="20"/>
  <c r="R28" i="20"/>
  <c r="S28" i="20"/>
  <c r="T28" i="20"/>
  <c r="U28" i="20"/>
  <c r="V28" i="20"/>
  <c r="W28" i="20"/>
  <c r="X28" i="20"/>
  <c r="Y28" i="20"/>
  <c r="Z28" i="20"/>
  <c r="AA28" i="20"/>
  <c r="Q29" i="20"/>
  <c r="R29" i="20"/>
  <c r="S29" i="20"/>
  <c r="T29" i="20"/>
  <c r="U29" i="20"/>
  <c r="V29" i="20"/>
  <c r="W29" i="20"/>
  <c r="X29" i="20"/>
  <c r="Y29" i="20"/>
  <c r="Z29" i="20"/>
  <c r="AA29" i="20"/>
  <c r="Q30" i="20"/>
  <c r="R30" i="20"/>
  <c r="S30" i="20"/>
  <c r="T30" i="20"/>
  <c r="U30" i="20"/>
  <c r="V30" i="20"/>
  <c r="W30" i="20"/>
  <c r="X30" i="20"/>
  <c r="Y30" i="20"/>
  <c r="Z30" i="20"/>
  <c r="AA30" i="20"/>
  <c r="Q31" i="20"/>
  <c r="R31" i="20"/>
  <c r="S31" i="20"/>
  <c r="T31" i="20"/>
  <c r="U31" i="20"/>
  <c r="V31" i="20"/>
  <c r="W31" i="20"/>
  <c r="X31" i="20"/>
  <c r="Y31" i="20"/>
  <c r="Z31" i="20"/>
  <c r="AA31" i="20"/>
  <c r="D32" i="20"/>
  <c r="E32" i="20"/>
  <c r="G32" i="20" s="1"/>
  <c r="I32" i="20" s="1"/>
  <c r="K32" i="20" s="1"/>
  <c r="M32" i="20" s="1"/>
  <c r="F32" i="20"/>
  <c r="H32" i="20"/>
  <c r="J32" i="20"/>
  <c r="L32" i="20"/>
  <c r="N32" i="20"/>
  <c r="Q32" i="20"/>
  <c r="R32" i="20"/>
  <c r="S32" i="20"/>
  <c r="T32" i="20"/>
  <c r="U32" i="20"/>
  <c r="V32" i="20"/>
  <c r="W32" i="20"/>
  <c r="X32" i="20"/>
  <c r="Y32" i="20"/>
  <c r="Z32" i="20"/>
  <c r="AA32" i="20"/>
  <c r="D33" i="20"/>
  <c r="E33" i="20"/>
  <c r="G33" i="20" s="1"/>
  <c r="I33" i="20" s="1"/>
  <c r="K33" i="20" s="1"/>
  <c r="M33" i="20" s="1"/>
  <c r="F33" i="20"/>
  <c r="H33" i="20"/>
  <c r="J33" i="20"/>
  <c r="L33" i="20"/>
  <c r="N33" i="20"/>
  <c r="Q33" i="20"/>
  <c r="R33" i="20"/>
  <c r="S33" i="20"/>
  <c r="T33" i="20"/>
  <c r="U33" i="20"/>
  <c r="V33" i="20"/>
  <c r="W33" i="20"/>
  <c r="X33" i="20"/>
  <c r="Y33" i="20"/>
  <c r="Z33" i="20"/>
  <c r="AA33" i="20"/>
  <c r="D34" i="20"/>
  <c r="E34" i="20"/>
  <c r="G34" i="20" s="1"/>
  <c r="I34" i="20" s="1"/>
  <c r="K34" i="20" s="1"/>
  <c r="M34" i="20" s="1"/>
  <c r="F34" i="20"/>
  <c r="H34" i="20"/>
  <c r="J34" i="20"/>
  <c r="L34" i="20"/>
  <c r="N34" i="20"/>
  <c r="Q34" i="20"/>
  <c r="R34" i="20"/>
  <c r="S34" i="20"/>
  <c r="T34" i="20"/>
  <c r="U34" i="20"/>
  <c r="V34" i="20"/>
  <c r="W34" i="20"/>
  <c r="X34" i="20"/>
  <c r="Y34" i="20"/>
  <c r="Z34" i="20"/>
  <c r="AA34" i="20"/>
  <c r="D35" i="20"/>
  <c r="E35" i="20"/>
  <c r="G35" i="20" s="1"/>
  <c r="I35" i="20" s="1"/>
  <c r="K35" i="20" s="1"/>
  <c r="M35" i="20" s="1"/>
  <c r="F35" i="20"/>
  <c r="H35" i="20"/>
  <c r="J35" i="20"/>
  <c r="L35" i="20"/>
  <c r="N35" i="20"/>
  <c r="Q35" i="20"/>
  <c r="R35" i="20"/>
  <c r="S35" i="20"/>
  <c r="T35" i="20"/>
  <c r="U35" i="20"/>
  <c r="V35" i="20"/>
  <c r="W35" i="20"/>
  <c r="X35" i="20"/>
  <c r="Y35" i="20"/>
  <c r="Z35" i="20"/>
  <c r="AA35" i="20"/>
  <c r="D36" i="20"/>
  <c r="E36" i="20"/>
  <c r="G36" i="20" s="1"/>
  <c r="I36" i="20" s="1"/>
  <c r="K36" i="20" s="1"/>
  <c r="M36" i="20" s="1"/>
  <c r="F36" i="20"/>
  <c r="H36" i="20"/>
  <c r="J36" i="20"/>
  <c r="L36" i="20"/>
  <c r="N36" i="20"/>
  <c r="Q36" i="20"/>
  <c r="R36" i="20"/>
  <c r="S36" i="20"/>
  <c r="T36" i="20"/>
  <c r="U36" i="20"/>
  <c r="V36" i="20"/>
  <c r="W36" i="20"/>
  <c r="X36" i="20"/>
  <c r="Y36" i="20"/>
  <c r="Z36" i="20"/>
  <c r="AA36" i="20"/>
  <c r="D37" i="20"/>
  <c r="E37" i="20"/>
  <c r="G37" i="20" s="1"/>
  <c r="I37" i="20" s="1"/>
  <c r="K37" i="20" s="1"/>
  <c r="M37" i="20" s="1"/>
  <c r="F37" i="20"/>
  <c r="H37" i="20"/>
  <c r="J37" i="20"/>
  <c r="L37" i="20"/>
  <c r="N37" i="20"/>
  <c r="Q37" i="20"/>
  <c r="R37" i="20"/>
  <c r="S37" i="20"/>
  <c r="T37" i="20"/>
  <c r="U37" i="20"/>
  <c r="V37" i="20"/>
  <c r="W37" i="20"/>
  <c r="X37" i="20"/>
  <c r="Y37" i="20"/>
  <c r="Z37" i="20"/>
  <c r="AA37" i="20"/>
  <c r="D38" i="20"/>
  <c r="E38" i="20"/>
  <c r="F38" i="20"/>
  <c r="G38" i="20"/>
  <c r="I38" i="20" s="1"/>
  <c r="K38" i="20" s="1"/>
  <c r="M38" i="20" s="1"/>
  <c r="H38" i="20"/>
  <c r="J38" i="20"/>
  <c r="L38" i="20"/>
  <c r="N38" i="20"/>
  <c r="Q38" i="20"/>
  <c r="R38" i="20"/>
  <c r="S38" i="20"/>
  <c r="T38" i="20"/>
  <c r="U38" i="20"/>
  <c r="V38" i="20"/>
  <c r="W38" i="20"/>
  <c r="X38" i="20"/>
  <c r="Y38" i="20"/>
  <c r="Z38" i="20"/>
  <c r="AA38" i="20"/>
  <c r="D39" i="20"/>
  <c r="E39" i="20"/>
  <c r="G39" i="20" s="1"/>
  <c r="I39" i="20" s="1"/>
  <c r="K39" i="20" s="1"/>
  <c r="M39" i="20" s="1"/>
  <c r="F39" i="20"/>
  <c r="H39" i="20"/>
  <c r="J39" i="20"/>
  <c r="L39" i="20"/>
  <c r="N39" i="20"/>
  <c r="Q39" i="20"/>
  <c r="R39" i="20"/>
  <c r="S39" i="20"/>
  <c r="T39" i="20"/>
  <c r="U39" i="20"/>
  <c r="V39" i="20"/>
  <c r="W39" i="20"/>
  <c r="X39" i="20"/>
  <c r="Y39" i="20"/>
  <c r="Z39" i="20"/>
  <c r="AA39" i="20"/>
  <c r="D40" i="20"/>
  <c r="E40" i="20"/>
  <c r="G40" i="20" s="1"/>
  <c r="I40" i="20" s="1"/>
  <c r="K40" i="20" s="1"/>
  <c r="M40" i="20" s="1"/>
  <c r="F40" i="20"/>
  <c r="H40" i="20"/>
  <c r="J40" i="20"/>
  <c r="L40" i="20"/>
  <c r="N40" i="20"/>
  <c r="Q40" i="20"/>
  <c r="R40" i="20"/>
  <c r="S40" i="20"/>
  <c r="T40" i="20"/>
  <c r="U40" i="20"/>
  <c r="V40" i="20"/>
  <c r="W40" i="20"/>
  <c r="X40" i="20"/>
  <c r="Y40" i="20"/>
  <c r="Z40" i="20"/>
  <c r="AA40" i="20"/>
  <c r="D41" i="20"/>
  <c r="E41" i="20"/>
  <c r="G41" i="20" s="1"/>
  <c r="I41" i="20" s="1"/>
  <c r="K41" i="20" s="1"/>
  <c r="M41" i="20" s="1"/>
  <c r="F41" i="20"/>
  <c r="H41" i="20"/>
  <c r="J41" i="20"/>
  <c r="L41" i="20"/>
  <c r="N41" i="20"/>
  <c r="Q41" i="20"/>
  <c r="R41" i="20"/>
  <c r="S41" i="20"/>
  <c r="T41" i="20"/>
  <c r="U41" i="20"/>
  <c r="V41" i="20"/>
  <c r="W41" i="20"/>
  <c r="X41" i="20"/>
  <c r="Y41" i="20"/>
  <c r="Z41" i="20"/>
  <c r="AA41" i="20"/>
  <c r="D42" i="20"/>
  <c r="E42" i="20"/>
  <c r="G42" i="20" s="1"/>
  <c r="I42" i="20" s="1"/>
  <c r="K42" i="20" s="1"/>
  <c r="M42" i="20" s="1"/>
  <c r="F42" i="20"/>
  <c r="H42" i="20"/>
  <c r="J42" i="20"/>
  <c r="L42" i="20"/>
  <c r="N42" i="20"/>
  <c r="D43" i="20"/>
  <c r="E43" i="20"/>
  <c r="G43" i="20" s="1"/>
  <c r="I43" i="20" s="1"/>
  <c r="K43" i="20" s="1"/>
  <c r="M43" i="20" s="1"/>
  <c r="F43" i="20"/>
  <c r="H43" i="20"/>
  <c r="J43" i="20"/>
  <c r="L43" i="20"/>
  <c r="N43" i="20"/>
  <c r="D44" i="20"/>
  <c r="E44" i="20"/>
  <c r="G44" i="20" s="1"/>
  <c r="I44" i="20" s="1"/>
  <c r="K44" i="20" s="1"/>
  <c r="M44" i="20" s="1"/>
  <c r="F44" i="20"/>
  <c r="H44" i="20"/>
  <c r="J44" i="20"/>
  <c r="L44" i="20"/>
  <c r="N44" i="20"/>
  <c r="D45" i="20"/>
  <c r="E45" i="20"/>
  <c r="F45" i="20"/>
  <c r="G45" i="20"/>
  <c r="I45" i="20"/>
  <c r="K45" i="20" s="1"/>
  <c r="M45" i="20" s="1"/>
  <c r="H45" i="20"/>
  <c r="J45" i="20"/>
  <c r="L45" i="20"/>
  <c r="N45" i="20"/>
  <c r="D46" i="20"/>
  <c r="E46" i="20"/>
  <c r="G46" i="20" s="1"/>
  <c r="I46" i="20" s="1"/>
  <c r="K46" i="20" s="1"/>
  <c r="M46" i="20" s="1"/>
  <c r="F46" i="20"/>
  <c r="H46" i="20"/>
  <c r="J46" i="20"/>
  <c r="L46" i="20"/>
  <c r="N46" i="20"/>
  <c r="C51" i="20"/>
  <c r="D51" i="20"/>
  <c r="E51" i="20"/>
  <c r="F51" i="20"/>
  <c r="G51" i="20"/>
  <c r="H51" i="20"/>
  <c r="I51" i="20"/>
  <c r="J51" i="20"/>
  <c r="K51" i="20"/>
  <c r="L51" i="20"/>
  <c r="M51" i="20"/>
  <c r="N51" i="20"/>
  <c r="O51" i="20"/>
  <c r="P51" i="20"/>
  <c r="C52" i="20"/>
  <c r="D52" i="20"/>
  <c r="E52" i="20"/>
  <c r="F52" i="20"/>
  <c r="G52" i="20"/>
  <c r="H52" i="20"/>
  <c r="I52" i="20"/>
  <c r="J52" i="20"/>
  <c r="K52" i="20"/>
  <c r="L52" i="20"/>
  <c r="M52" i="20"/>
  <c r="N52" i="20"/>
  <c r="O52" i="20"/>
  <c r="P52" i="20"/>
  <c r="C53" i="20"/>
  <c r="D53" i="20"/>
  <c r="E53" i="20"/>
  <c r="F53" i="20"/>
  <c r="G53" i="20"/>
  <c r="H53" i="20"/>
  <c r="I53" i="20"/>
  <c r="J53" i="20"/>
  <c r="K53" i="20"/>
  <c r="L53" i="20"/>
  <c r="M53" i="20"/>
  <c r="N53" i="20"/>
  <c r="O53" i="20"/>
  <c r="P53" i="20"/>
  <c r="C54" i="20"/>
  <c r="D54" i="20"/>
  <c r="E54" i="20"/>
  <c r="F54" i="20"/>
  <c r="G54" i="20"/>
  <c r="H54" i="20"/>
  <c r="I54" i="20"/>
  <c r="J54" i="20"/>
  <c r="K54" i="20"/>
  <c r="L54" i="20"/>
  <c r="M54" i="20"/>
  <c r="N54" i="20"/>
  <c r="O54" i="20"/>
  <c r="P54" i="20"/>
  <c r="C55" i="20"/>
  <c r="D55" i="20"/>
  <c r="E55" i="20"/>
  <c r="F55" i="20"/>
  <c r="G55" i="20"/>
  <c r="H55" i="20"/>
  <c r="I55" i="20"/>
  <c r="J55" i="20"/>
  <c r="K55" i="20"/>
  <c r="L55" i="20"/>
  <c r="M55" i="20"/>
  <c r="N55" i="20"/>
  <c r="O55" i="20"/>
  <c r="P55" i="20"/>
  <c r="C56" i="20"/>
  <c r="D56" i="20"/>
  <c r="E56" i="20"/>
  <c r="F56" i="20"/>
  <c r="G56" i="20"/>
  <c r="H56" i="20"/>
  <c r="I56" i="20"/>
  <c r="J56" i="20"/>
  <c r="K56" i="20"/>
  <c r="L56" i="20"/>
  <c r="M56" i="20"/>
  <c r="N56" i="20"/>
  <c r="O56" i="20"/>
  <c r="P56" i="20"/>
  <c r="C57" i="20"/>
  <c r="D57" i="20"/>
  <c r="E57" i="20"/>
  <c r="F57" i="20"/>
  <c r="G57" i="20"/>
  <c r="H57" i="20"/>
  <c r="I57" i="20"/>
  <c r="J57" i="20"/>
  <c r="K57" i="20"/>
  <c r="L57" i="20"/>
  <c r="M57" i="20"/>
  <c r="N57" i="20"/>
  <c r="O57" i="20"/>
  <c r="P57" i="20"/>
  <c r="C58" i="20"/>
  <c r="D58" i="20"/>
  <c r="E58" i="20"/>
  <c r="F58" i="20"/>
  <c r="G58" i="20"/>
  <c r="H58" i="20"/>
  <c r="I58" i="20"/>
  <c r="J58" i="20"/>
  <c r="K58" i="20"/>
  <c r="L58" i="20"/>
  <c r="M58" i="20"/>
  <c r="N58" i="20"/>
  <c r="O58" i="20"/>
  <c r="P58" i="20"/>
  <c r="C63" i="20"/>
  <c r="D63" i="20"/>
  <c r="E63" i="20"/>
  <c r="F63" i="20"/>
  <c r="G63" i="20"/>
  <c r="H63" i="20"/>
  <c r="I63" i="20"/>
  <c r="J63" i="20"/>
  <c r="K63" i="20"/>
  <c r="L63" i="20"/>
  <c r="M63" i="20"/>
  <c r="N63" i="20"/>
  <c r="O63" i="20"/>
  <c r="P63" i="20"/>
  <c r="C64" i="20"/>
  <c r="D64" i="20"/>
  <c r="E64" i="20"/>
  <c r="F64" i="20"/>
  <c r="G64" i="20"/>
  <c r="H64" i="20"/>
  <c r="I64" i="20"/>
  <c r="J64" i="20"/>
  <c r="K64" i="20"/>
  <c r="L64" i="20"/>
  <c r="M64" i="20"/>
  <c r="N64" i="20"/>
  <c r="O64" i="20"/>
  <c r="P64" i="20"/>
  <c r="C65" i="20"/>
  <c r="D65" i="20"/>
  <c r="E65" i="20"/>
  <c r="F65" i="20"/>
  <c r="G65" i="20"/>
  <c r="H65" i="20"/>
  <c r="I65" i="20"/>
  <c r="J65" i="20"/>
  <c r="K65" i="20"/>
  <c r="L65" i="20"/>
  <c r="M65" i="20"/>
  <c r="N65" i="20"/>
  <c r="O65" i="20"/>
  <c r="P65" i="20"/>
  <c r="C66" i="20"/>
  <c r="D66" i="20"/>
  <c r="E66" i="20"/>
  <c r="F66" i="20"/>
  <c r="G66" i="20"/>
  <c r="H66" i="20"/>
  <c r="I66" i="20"/>
  <c r="J66" i="20"/>
  <c r="K66" i="20"/>
  <c r="L66" i="20"/>
  <c r="M66" i="20"/>
  <c r="N66" i="20"/>
  <c r="O66" i="20"/>
  <c r="P66" i="20"/>
  <c r="C67" i="20"/>
  <c r="D67" i="20"/>
  <c r="E67" i="20"/>
  <c r="F67" i="20"/>
  <c r="G67" i="20"/>
  <c r="H67" i="20"/>
  <c r="I67" i="20"/>
  <c r="J67" i="20"/>
  <c r="K67" i="20"/>
  <c r="L67" i="20"/>
  <c r="M67" i="20"/>
  <c r="N67" i="20"/>
  <c r="O67" i="20"/>
  <c r="P67" i="20"/>
  <c r="C68" i="20"/>
  <c r="D68" i="20"/>
  <c r="E68" i="20"/>
  <c r="F68" i="20"/>
  <c r="G68" i="20"/>
  <c r="H68" i="20"/>
  <c r="I68" i="20"/>
  <c r="J68" i="20"/>
  <c r="K68" i="20"/>
  <c r="L68" i="20"/>
  <c r="M68" i="20"/>
  <c r="N68" i="20"/>
  <c r="O68" i="20"/>
  <c r="P68" i="20"/>
  <c r="C69" i="20"/>
  <c r="D69" i="20"/>
  <c r="E69" i="20"/>
  <c r="F69" i="20"/>
  <c r="G69" i="20"/>
  <c r="H69" i="20"/>
  <c r="I69" i="20"/>
  <c r="J69" i="20"/>
  <c r="K69" i="20"/>
  <c r="L69" i="20"/>
  <c r="M69" i="20"/>
  <c r="N69" i="20"/>
  <c r="O69" i="20"/>
  <c r="P69" i="20"/>
  <c r="C70" i="20"/>
  <c r="D70" i="20"/>
  <c r="E70" i="20"/>
  <c r="F70" i="20"/>
  <c r="G70" i="20"/>
  <c r="H70" i="20"/>
  <c r="I70" i="20"/>
  <c r="J70" i="20"/>
  <c r="K70" i="20"/>
  <c r="L70" i="20"/>
  <c r="M70" i="20"/>
  <c r="N70" i="20"/>
  <c r="O70" i="20"/>
  <c r="P70" i="20"/>
  <c r="C71" i="20"/>
  <c r="D71" i="20"/>
  <c r="E71" i="20"/>
  <c r="F71" i="20"/>
  <c r="G71" i="20"/>
  <c r="H71" i="20"/>
  <c r="I71" i="20"/>
  <c r="J71" i="20"/>
  <c r="K71" i="20"/>
  <c r="L71" i="20"/>
  <c r="M71" i="20"/>
  <c r="N71" i="20"/>
  <c r="O71" i="20"/>
  <c r="P71" i="20"/>
  <c r="C72" i="20"/>
  <c r="D72" i="20"/>
  <c r="E72" i="20"/>
  <c r="F72" i="20"/>
  <c r="G72" i="20"/>
  <c r="H72" i="20"/>
  <c r="I72" i="20"/>
  <c r="J72" i="20"/>
  <c r="K72" i="20"/>
  <c r="L72" i="20"/>
  <c r="M72" i="20"/>
  <c r="N72" i="20"/>
  <c r="O72" i="20"/>
  <c r="P72" i="20"/>
  <c r="C73" i="20"/>
  <c r="D73" i="20"/>
  <c r="E73" i="20"/>
  <c r="F73" i="20"/>
  <c r="G73" i="20"/>
  <c r="H73" i="20"/>
  <c r="I73" i="20"/>
  <c r="J73" i="20"/>
  <c r="K73" i="20"/>
  <c r="L73" i="20"/>
  <c r="M73" i="20"/>
  <c r="N73" i="20"/>
  <c r="O73" i="20"/>
  <c r="P73" i="20"/>
  <c r="C74" i="20"/>
  <c r="D74" i="20"/>
  <c r="E74" i="20"/>
  <c r="F74" i="20"/>
  <c r="G74" i="20"/>
  <c r="H74" i="20"/>
  <c r="I74" i="20"/>
  <c r="J74" i="20"/>
  <c r="K74" i="20"/>
  <c r="L74" i="20"/>
  <c r="M74" i="20"/>
  <c r="N74" i="20"/>
  <c r="O74" i="20"/>
  <c r="P74" i="20"/>
  <c r="C75" i="20"/>
  <c r="D75" i="20"/>
  <c r="E75" i="20"/>
  <c r="F75" i="20"/>
  <c r="G75" i="20"/>
  <c r="H75" i="20"/>
  <c r="I75" i="20"/>
  <c r="J75" i="20"/>
  <c r="K75" i="20"/>
  <c r="L75" i="20"/>
  <c r="M75" i="20"/>
  <c r="N75" i="20"/>
  <c r="O75" i="20"/>
  <c r="P75" i="20"/>
  <c r="C76" i="20"/>
  <c r="D76" i="20"/>
  <c r="E76" i="20"/>
  <c r="F76" i="20"/>
  <c r="G76" i="20"/>
  <c r="H76" i="20"/>
  <c r="I76" i="20"/>
  <c r="J76" i="20"/>
  <c r="K76" i="20"/>
  <c r="L76" i="20"/>
  <c r="M76" i="20"/>
  <c r="N76" i="20"/>
  <c r="O76" i="20"/>
  <c r="P76" i="20"/>
  <c r="C77" i="20"/>
  <c r="D77" i="20"/>
  <c r="E77" i="20"/>
  <c r="F77" i="20"/>
  <c r="G77" i="20"/>
  <c r="H77" i="20"/>
  <c r="I77" i="20"/>
  <c r="J77" i="20"/>
  <c r="K77" i="20"/>
  <c r="L77" i="20"/>
  <c r="M77" i="20"/>
  <c r="N77" i="20"/>
  <c r="O77" i="20"/>
  <c r="P77" i="20"/>
  <c r="C78" i="20"/>
  <c r="D78" i="20"/>
  <c r="E78" i="20"/>
  <c r="F78" i="20"/>
  <c r="G78" i="20"/>
  <c r="H78" i="20"/>
  <c r="I78" i="20"/>
  <c r="J78" i="20"/>
  <c r="K78" i="20"/>
  <c r="L78" i="20"/>
  <c r="M78" i="20"/>
  <c r="N78" i="20"/>
  <c r="O78" i="20"/>
  <c r="P78" i="20"/>
  <c r="C79" i="20"/>
  <c r="D79" i="20"/>
  <c r="E79" i="20"/>
  <c r="F79" i="20"/>
  <c r="G79" i="20"/>
  <c r="H79" i="20"/>
  <c r="I79" i="20"/>
  <c r="J79" i="20"/>
  <c r="K79" i="20"/>
  <c r="L79" i="20"/>
  <c r="M79" i="20"/>
  <c r="N79" i="20"/>
  <c r="O79" i="20"/>
  <c r="P79" i="20"/>
  <c r="C80" i="20"/>
  <c r="D80" i="20"/>
  <c r="E80" i="20"/>
  <c r="F80" i="20"/>
  <c r="G80" i="20"/>
  <c r="H80" i="20"/>
  <c r="I80" i="20"/>
  <c r="J80" i="20"/>
  <c r="K80" i="20"/>
  <c r="L80" i="20"/>
  <c r="M80" i="20"/>
  <c r="N80" i="20"/>
  <c r="O80" i="20"/>
  <c r="P80" i="20"/>
  <c r="C81" i="20"/>
  <c r="D81" i="20"/>
  <c r="E81" i="20"/>
  <c r="F81" i="20"/>
  <c r="G81" i="20"/>
  <c r="H81" i="20"/>
  <c r="I81" i="20"/>
  <c r="J81" i="20"/>
  <c r="K81" i="20"/>
  <c r="L81" i="20"/>
  <c r="M81" i="20"/>
  <c r="N81" i="20"/>
  <c r="O81" i="20"/>
  <c r="P81" i="20"/>
  <c r="C82" i="20"/>
  <c r="D82" i="20"/>
  <c r="E82" i="20"/>
  <c r="F82" i="20"/>
  <c r="G82" i="20"/>
  <c r="H82" i="20"/>
  <c r="I82" i="20"/>
  <c r="J82" i="20"/>
  <c r="K82" i="20"/>
  <c r="L82" i="20"/>
  <c r="M82" i="20"/>
  <c r="N82" i="20"/>
  <c r="O82" i="20"/>
  <c r="P82" i="20"/>
  <c r="C83" i="20"/>
  <c r="D83" i="20"/>
  <c r="E83" i="20"/>
  <c r="F83" i="20"/>
  <c r="G83" i="20"/>
  <c r="H83" i="20"/>
  <c r="I83" i="20"/>
  <c r="J83" i="20"/>
  <c r="K83" i="20"/>
  <c r="L83" i="20"/>
  <c r="M83" i="20"/>
  <c r="N83" i="20"/>
  <c r="O83" i="20"/>
  <c r="P83" i="20"/>
  <c r="C84" i="20"/>
  <c r="D84" i="20"/>
  <c r="E84" i="20"/>
  <c r="F84" i="20"/>
  <c r="G84" i="20"/>
  <c r="H84" i="20"/>
  <c r="I84" i="20"/>
  <c r="J84" i="20"/>
  <c r="K84" i="20"/>
  <c r="L84" i="20"/>
  <c r="M84" i="20"/>
  <c r="N84" i="20"/>
  <c r="O84" i="20"/>
  <c r="P84" i="20"/>
  <c r="C8" i="19"/>
  <c r="D8" i="19"/>
  <c r="H8" i="19"/>
  <c r="P8" i="19"/>
  <c r="R8" i="19"/>
  <c r="C9" i="19"/>
  <c r="D9" i="19"/>
  <c r="J9" i="19" s="1"/>
  <c r="E9" i="19"/>
  <c r="G9" i="19"/>
  <c r="I9" i="19"/>
  <c r="L9" i="19"/>
  <c r="M9" i="19"/>
  <c r="N9" i="19"/>
  <c r="O9" i="19"/>
  <c r="P9" i="19"/>
  <c r="Q9" i="19"/>
  <c r="S9" i="19"/>
  <c r="T9" i="19"/>
  <c r="U9" i="19"/>
  <c r="V9" i="19"/>
  <c r="W9" i="19"/>
  <c r="X9" i="19"/>
  <c r="Y9" i="19"/>
  <c r="Z9" i="19"/>
  <c r="AA9" i="19"/>
  <c r="C10" i="19"/>
  <c r="D10" i="19"/>
  <c r="J10" i="19" s="1"/>
  <c r="C11" i="19"/>
  <c r="D11" i="19"/>
  <c r="J11" i="19" s="1"/>
  <c r="F11" i="19"/>
  <c r="G11" i="19"/>
  <c r="H11" i="19"/>
  <c r="N11" i="19"/>
  <c r="P11" i="19"/>
  <c r="T11" i="19"/>
  <c r="V11" i="19"/>
  <c r="W11" i="19"/>
  <c r="X11" i="19"/>
  <c r="C12" i="19"/>
  <c r="D12" i="19"/>
  <c r="N12" i="19" s="1"/>
  <c r="L12" i="19"/>
  <c r="T12" i="19"/>
  <c r="X12" i="19"/>
  <c r="Z12" i="19"/>
  <c r="C13" i="19"/>
  <c r="D13" i="19"/>
  <c r="E13" i="19" s="1"/>
  <c r="L13" i="19"/>
  <c r="O13" i="19"/>
  <c r="U13" i="19"/>
  <c r="Y13" i="19"/>
  <c r="C14" i="19"/>
  <c r="D14" i="19"/>
  <c r="N14" i="19" s="1"/>
  <c r="Z14" i="19"/>
  <c r="C15" i="19"/>
  <c r="D15" i="19"/>
  <c r="G15" i="19" s="1"/>
  <c r="F15" i="19"/>
  <c r="J15" i="19"/>
  <c r="L15" i="19"/>
  <c r="P15" i="19"/>
  <c r="R15" i="19"/>
  <c r="T15" i="19"/>
  <c r="X15" i="19"/>
  <c r="Z15" i="19"/>
  <c r="C16" i="19"/>
  <c r="D16" i="19"/>
  <c r="F16" i="19" s="1"/>
  <c r="H16" i="19"/>
  <c r="N16" i="19"/>
  <c r="X16" i="19"/>
  <c r="C17" i="19"/>
  <c r="D17" i="19"/>
  <c r="E17" i="19" s="1"/>
  <c r="L17" i="19"/>
  <c r="R17" i="19"/>
  <c r="Z17" i="19"/>
  <c r="C18" i="19"/>
  <c r="D18" i="19"/>
  <c r="H18" i="19" s="1"/>
  <c r="F18" i="19"/>
  <c r="L18" i="19"/>
  <c r="P18" i="19"/>
  <c r="V18" i="19"/>
  <c r="C19" i="19"/>
  <c r="D19" i="19"/>
  <c r="F19" i="19" s="1"/>
  <c r="K19" i="19"/>
  <c r="S19" i="19"/>
  <c r="AA19" i="19"/>
  <c r="C20" i="19"/>
  <c r="D20" i="19"/>
  <c r="E20" i="19" s="1"/>
  <c r="C21" i="19"/>
  <c r="D21" i="19"/>
  <c r="G21" i="19" s="1"/>
  <c r="C22" i="19"/>
  <c r="D22" i="19"/>
  <c r="F22" i="19"/>
  <c r="C23" i="19"/>
  <c r="D23" i="19"/>
  <c r="H23" i="19" s="1"/>
  <c r="C24" i="19"/>
  <c r="D24" i="19"/>
  <c r="H24" i="19" s="1"/>
  <c r="C25" i="19"/>
  <c r="D25" i="19"/>
  <c r="J25" i="19" s="1"/>
  <c r="G25" i="19"/>
  <c r="K25" i="19"/>
  <c r="P25" i="19"/>
  <c r="T25" i="19"/>
  <c r="Y25" i="19"/>
  <c r="C26" i="19"/>
  <c r="D26" i="19"/>
  <c r="J26" i="19" s="1"/>
  <c r="C27" i="19"/>
  <c r="D27" i="19"/>
  <c r="J27" i="19" s="1"/>
  <c r="G27" i="19"/>
  <c r="N27" i="19"/>
  <c r="T27" i="19"/>
  <c r="X27" i="19"/>
  <c r="C28" i="19"/>
  <c r="D28" i="19"/>
  <c r="N28" i="19" s="1"/>
  <c r="L28" i="19"/>
  <c r="T28" i="19"/>
  <c r="C29" i="19"/>
  <c r="D29" i="19"/>
  <c r="E29" i="19" s="1"/>
  <c r="L29" i="19"/>
  <c r="C30" i="19"/>
  <c r="D30" i="19"/>
  <c r="N30" i="19" s="1"/>
  <c r="Z30" i="19"/>
  <c r="D19" i="10"/>
  <c r="G19" i="10"/>
  <c r="I19" i="10"/>
  <c r="D20" i="10"/>
  <c r="G20" i="10"/>
  <c r="I20" i="10"/>
  <c r="D21" i="10"/>
  <c r="G21" i="10"/>
  <c r="I21" i="10"/>
  <c r="D22" i="10"/>
  <c r="G22" i="10"/>
  <c r="I22" i="10"/>
  <c r="D23" i="10"/>
  <c r="G23" i="10"/>
  <c r="I23" i="10"/>
  <c r="D24" i="10"/>
  <c r="G24" i="10"/>
  <c r="I24" i="10"/>
  <c r="D25" i="10"/>
  <c r="G25" i="10"/>
  <c r="I25" i="10"/>
  <c r="D26" i="10"/>
  <c r="G26" i="10"/>
  <c r="I26" i="10"/>
  <c r="D27" i="10"/>
  <c r="G27" i="10"/>
  <c r="I27" i="10"/>
  <c r="D28" i="10"/>
  <c r="G28" i="10"/>
  <c r="I28" i="10"/>
  <c r="D29" i="10"/>
  <c r="G29" i="10"/>
  <c r="I29" i="10"/>
  <c r="C4" i="9"/>
  <c r="D4" i="9"/>
  <c r="E4" i="9"/>
  <c r="F4" i="9"/>
  <c r="G4" i="9"/>
  <c r="H4" i="9"/>
  <c r="I4" i="9"/>
  <c r="C5" i="9"/>
  <c r="D5" i="9"/>
  <c r="E5" i="9"/>
  <c r="F5" i="9"/>
  <c r="G5" i="9"/>
  <c r="H5" i="9"/>
  <c r="I5" i="9"/>
  <c r="C6" i="9"/>
  <c r="D6" i="9"/>
  <c r="E6" i="9"/>
  <c r="F6" i="9"/>
  <c r="G6" i="9"/>
  <c r="H6" i="9"/>
  <c r="I6" i="9"/>
  <c r="C7" i="9"/>
  <c r="D7" i="9"/>
  <c r="E7" i="9"/>
  <c r="F7" i="9"/>
  <c r="G7" i="9"/>
  <c r="H7" i="9"/>
  <c r="I7" i="9"/>
  <c r="C8" i="9"/>
  <c r="D8" i="9"/>
  <c r="E8" i="9"/>
  <c r="F8" i="9"/>
  <c r="G8" i="9"/>
  <c r="H8" i="9"/>
  <c r="I8" i="9"/>
  <c r="C9" i="9"/>
  <c r="D9" i="9"/>
  <c r="E9" i="9"/>
  <c r="F9" i="9"/>
  <c r="G9" i="9"/>
  <c r="H9" i="9"/>
  <c r="I9" i="9"/>
  <c r="C10" i="9"/>
  <c r="D10" i="9"/>
  <c r="E10" i="9"/>
  <c r="F10" i="9"/>
  <c r="G10" i="9"/>
  <c r="H10" i="9"/>
  <c r="I10" i="9"/>
  <c r="C11" i="9"/>
  <c r="D11" i="9"/>
  <c r="E11" i="9"/>
  <c r="F11" i="9"/>
  <c r="G11" i="9"/>
  <c r="H11" i="9"/>
  <c r="I11" i="9"/>
  <c r="C12" i="9"/>
  <c r="D12" i="9"/>
  <c r="E12" i="9"/>
  <c r="F12" i="9"/>
  <c r="G12" i="9"/>
  <c r="H12" i="9"/>
  <c r="I12" i="9"/>
  <c r="C13" i="9"/>
  <c r="D13" i="9"/>
  <c r="E13" i="9"/>
  <c r="F13" i="9"/>
  <c r="G13" i="9"/>
  <c r="H13" i="9"/>
  <c r="I13" i="9"/>
  <c r="C14" i="9"/>
  <c r="D14" i="9"/>
  <c r="E14" i="9"/>
  <c r="F14" i="9"/>
  <c r="G14" i="9"/>
  <c r="H14" i="9"/>
  <c r="I14" i="9"/>
  <c r="C15" i="9"/>
  <c r="D15" i="9"/>
  <c r="E15" i="9"/>
  <c r="F15" i="9"/>
  <c r="G15" i="9"/>
  <c r="H15" i="9"/>
  <c r="I15" i="9"/>
  <c r="C16" i="9"/>
  <c r="D16" i="9"/>
  <c r="E16" i="9"/>
  <c r="F16" i="9"/>
  <c r="G16" i="9"/>
  <c r="H16" i="9"/>
  <c r="I16" i="9"/>
  <c r="C17" i="9"/>
  <c r="D17" i="9"/>
  <c r="E17" i="9"/>
  <c r="F17" i="9"/>
  <c r="G17" i="9"/>
  <c r="H17" i="9"/>
  <c r="I17" i="9"/>
  <c r="C18" i="9"/>
  <c r="D18" i="9"/>
  <c r="E18" i="9"/>
  <c r="F18" i="9"/>
  <c r="G18" i="9"/>
  <c r="H18" i="9"/>
  <c r="I18" i="9"/>
  <c r="C19" i="9"/>
  <c r="D19" i="9"/>
  <c r="E19" i="9"/>
  <c r="F19" i="9"/>
  <c r="G19" i="9"/>
  <c r="H19" i="9"/>
  <c r="I19" i="9"/>
  <c r="C20" i="9"/>
  <c r="D20" i="9"/>
  <c r="E20" i="9"/>
  <c r="F20" i="9"/>
  <c r="G20" i="9"/>
  <c r="H20" i="9"/>
  <c r="I20" i="9"/>
  <c r="C21" i="9"/>
  <c r="D21" i="9"/>
  <c r="E21" i="9"/>
  <c r="F21" i="9"/>
  <c r="G21" i="9"/>
  <c r="H21" i="9"/>
  <c r="I21" i="9"/>
  <c r="C22" i="9"/>
  <c r="D22" i="9"/>
  <c r="E22" i="9"/>
  <c r="F22" i="9"/>
  <c r="G22" i="9"/>
  <c r="H22" i="9"/>
  <c r="I22" i="9"/>
  <c r="C23" i="9"/>
  <c r="D23" i="9"/>
  <c r="E23" i="9"/>
  <c r="F23" i="9"/>
  <c r="G23" i="9"/>
  <c r="H23" i="9"/>
  <c r="I23" i="9"/>
  <c r="C24" i="9"/>
  <c r="D24" i="9"/>
  <c r="E24" i="9"/>
  <c r="F24" i="9"/>
  <c r="G24" i="9"/>
  <c r="H24" i="9"/>
  <c r="I24" i="9"/>
  <c r="C25" i="9"/>
  <c r="D25" i="9"/>
  <c r="E25" i="9"/>
  <c r="F25" i="9"/>
  <c r="G25" i="9"/>
  <c r="H25" i="9"/>
  <c r="I25" i="9"/>
  <c r="C26" i="9"/>
  <c r="D26" i="9"/>
  <c r="E26" i="9"/>
  <c r="F26" i="9"/>
  <c r="G26" i="9"/>
  <c r="H26" i="9"/>
  <c r="I26" i="9"/>
  <c r="C27" i="9"/>
  <c r="D27" i="9"/>
  <c r="E27" i="9"/>
  <c r="F27" i="9"/>
  <c r="G27" i="9"/>
  <c r="H27" i="9"/>
  <c r="I27" i="9"/>
  <c r="C28" i="9"/>
  <c r="D28" i="9"/>
  <c r="E28" i="9"/>
  <c r="F28" i="9"/>
  <c r="G28" i="9"/>
  <c r="H28" i="9"/>
  <c r="I28" i="9"/>
  <c r="C29" i="9"/>
  <c r="D29" i="9"/>
  <c r="E29" i="9"/>
  <c r="F29" i="9"/>
  <c r="G29" i="9"/>
  <c r="H29" i="9"/>
  <c r="I29" i="9"/>
  <c r="C30" i="9"/>
  <c r="D30" i="9"/>
  <c r="E30" i="9"/>
  <c r="F30" i="9"/>
  <c r="G30" i="9"/>
  <c r="H30" i="9"/>
  <c r="I30" i="9"/>
  <c r="C31" i="9"/>
  <c r="D31" i="9"/>
  <c r="E31" i="9"/>
  <c r="F31" i="9"/>
  <c r="G31" i="9"/>
  <c r="H31" i="9"/>
  <c r="I31" i="9"/>
  <c r="C32" i="9"/>
  <c r="D32" i="9"/>
  <c r="E32" i="9"/>
  <c r="F32" i="9"/>
  <c r="G32" i="9"/>
  <c r="H32" i="9"/>
  <c r="I32" i="9"/>
  <c r="C33" i="9"/>
  <c r="D33" i="9"/>
  <c r="E33" i="9"/>
  <c r="F33" i="9"/>
  <c r="G33" i="9"/>
  <c r="H33" i="9"/>
  <c r="I33" i="9"/>
  <c r="C34" i="9"/>
  <c r="D34" i="9"/>
  <c r="E34" i="9"/>
  <c r="F34" i="9"/>
  <c r="G34" i="9"/>
  <c r="H34" i="9"/>
  <c r="I34" i="9"/>
  <c r="C35" i="9"/>
  <c r="D35" i="9"/>
  <c r="E35" i="9"/>
  <c r="F35" i="9"/>
  <c r="G35" i="9"/>
  <c r="H35" i="9"/>
  <c r="I35" i="9"/>
  <c r="C36" i="9"/>
  <c r="D36" i="9"/>
  <c r="E36" i="9"/>
  <c r="F36" i="9"/>
  <c r="G36" i="9"/>
  <c r="H36" i="9"/>
  <c r="I36" i="9"/>
  <c r="C37" i="9"/>
  <c r="D37" i="9"/>
  <c r="E37" i="9"/>
  <c r="F37" i="9"/>
  <c r="G37" i="9"/>
  <c r="H37" i="9"/>
  <c r="I37" i="9"/>
  <c r="C38" i="9"/>
  <c r="D38" i="9"/>
  <c r="E38" i="9"/>
  <c r="F38" i="9"/>
  <c r="G38" i="9"/>
  <c r="H38" i="9"/>
  <c r="I38" i="9"/>
  <c r="C39" i="9"/>
  <c r="D39" i="9"/>
  <c r="E39" i="9"/>
  <c r="F39" i="9"/>
  <c r="G39" i="9"/>
  <c r="H39" i="9"/>
  <c r="I39" i="9"/>
  <c r="C40" i="9"/>
  <c r="D40" i="9"/>
  <c r="E40" i="9"/>
  <c r="F40" i="9"/>
  <c r="G40" i="9"/>
  <c r="H40" i="9"/>
  <c r="I40" i="9"/>
  <c r="C41" i="9"/>
  <c r="D41" i="9"/>
  <c r="E41" i="9"/>
  <c r="F41" i="9"/>
  <c r="G41" i="9"/>
  <c r="H41" i="9"/>
  <c r="I41" i="9"/>
  <c r="C42" i="9"/>
  <c r="D42" i="9"/>
  <c r="E42" i="9"/>
  <c r="F42" i="9"/>
  <c r="G42" i="9"/>
  <c r="H42" i="9"/>
  <c r="I42" i="9"/>
  <c r="C43" i="9"/>
  <c r="D43" i="9"/>
  <c r="E43" i="9"/>
  <c r="F43" i="9"/>
  <c r="G43" i="9"/>
  <c r="H43" i="9"/>
  <c r="I43" i="9"/>
  <c r="C44" i="9"/>
  <c r="D44" i="9"/>
  <c r="E44" i="9"/>
  <c r="F44" i="9"/>
  <c r="G44" i="9"/>
  <c r="H44" i="9"/>
  <c r="I44" i="9"/>
  <c r="C45" i="9"/>
  <c r="D45" i="9"/>
  <c r="E45" i="9"/>
  <c r="F45" i="9"/>
  <c r="G45" i="9"/>
  <c r="H45" i="9"/>
  <c r="I45" i="9"/>
  <c r="C46" i="9"/>
  <c r="D46" i="9"/>
  <c r="E46" i="9"/>
  <c r="F46" i="9"/>
  <c r="G46" i="9"/>
  <c r="H46" i="9"/>
  <c r="I46" i="9"/>
  <c r="C47" i="9"/>
  <c r="D47" i="9"/>
  <c r="E47" i="9"/>
  <c r="F47" i="9"/>
  <c r="G47" i="9"/>
  <c r="H47" i="9"/>
  <c r="I47" i="9"/>
  <c r="C48" i="9"/>
  <c r="D48" i="9"/>
  <c r="E48" i="9"/>
  <c r="F48" i="9"/>
  <c r="G48" i="9"/>
  <c r="H48" i="9"/>
  <c r="I48" i="9"/>
  <c r="C49" i="9"/>
  <c r="D49" i="9"/>
  <c r="E49" i="9"/>
  <c r="F49" i="9"/>
  <c r="G49" i="9"/>
  <c r="H49" i="9"/>
  <c r="I49" i="9"/>
  <c r="C50" i="9"/>
  <c r="D50" i="9"/>
  <c r="E50" i="9"/>
  <c r="F50" i="9"/>
  <c r="G50" i="9"/>
  <c r="H50" i="9"/>
  <c r="I50" i="9"/>
  <c r="C51" i="9"/>
  <c r="D51" i="9"/>
  <c r="E51" i="9"/>
  <c r="F51" i="9"/>
  <c r="G51" i="9"/>
  <c r="H51" i="9"/>
  <c r="I51" i="9"/>
  <c r="C52" i="9"/>
  <c r="D52" i="9"/>
  <c r="E52" i="9"/>
  <c r="F52" i="9"/>
  <c r="G52" i="9"/>
  <c r="H52" i="9"/>
  <c r="I52" i="9"/>
  <c r="C53" i="9"/>
  <c r="D53" i="9"/>
  <c r="E53" i="9"/>
  <c r="F53" i="9"/>
  <c r="G53" i="9"/>
  <c r="H53" i="9"/>
  <c r="I53" i="9"/>
  <c r="C54" i="9"/>
  <c r="D54" i="9"/>
  <c r="E54" i="9"/>
  <c r="F54" i="9"/>
  <c r="G54" i="9"/>
  <c r="H54" i="9"/>
  <c r="I54" i="9"/>
  <c r="C55" i="9"/>
  <c r="D55" i="9"/>
  <c r="E55" i="9"/>
  <c r="F55" i="9"/>
  <c r="G55" i="9"/>
  <c r="H55" i="9"/>
  <c r="I55" i="9"/>
  <c r="C56" i="9"/>
  <c r="D56" i="9"/>
  <c r="E56" i="9"/>
  <c r="F56" i="9"/>
  <c r="G56" i="9"/>
  <c r="H56" i="9"/>
  <c r="I56" i="9"/>
  <c r="C57" i="9"/>
  <c r="D57" i="9"/>
  <c r="E57" i="9"/>
  <c r="F57" i="9"/>
  <c r="G57" i="9"/>
  <c r="H57" i="9"/>
  <c r="I57" i="9"/>
  <c r="C58" i="9"/>
  <c r="D58" i="9"/>
  <c r="E58" i="9"/>
  <c r="F58" i="9"/>
  <c r="G58" i="9"/>
  <c r="H58" i="9"/>
  <c r="I58" i="9"/>
  <c r="C59" i="9"/>
  <c r="D59" i="9"/>
  <c r="E59" i="9"/>
  <c r="F59" i="9"/>
  <c r="G59" i="9"/>
  <c r="H59" i="9"/>
  <c r="I59" i="9"/>
  <c r="C60" i="9"/>
  <c r="D60" i="9"/>
  <c r="E60" i="9"/>
  <c r="F60" i="9"/>
  <c r="G60" i="9"/>
  <c r="H60" i="9"/>
  <c r="I60" i="9"/>
  <c r="C61" i="9"/>
  <c r="D61" i="9"/>
  <c r="E61" i="9"/>
  <c r="F61" i="9"/>
  <c r="G61" i="9"/>
  <c r="H61" i="9"/>
  <c r="I61" i="9"/>
  <c r="C62" i="9"/>
  <c r="D62" i="9"/>
  <c r="E62" i="9"/>
  <c r="F62" i="9"/>
  <c r="G62" i="9"/>
  <c r="H62" i="9"/>
  <c r="I62" i="9"/>
  <c r="C63" i="9"/>
  <c r="D63" i="9"/>
  <c r="E63" i="9"/>
  <c r="F63" i="9"/>
  <c r="G63" i="9"/>
  <c r="H63" i="9"/>
  <c r="I63" i="9"/>
  <c r="C64" i="9"/>
  <c r="D64" i="9"/>
  <c r="E64" i="9"/>
  <c r="F64" i="9"/>
  <c r="G64" i="9"/>
  <c r="H64" i="9"/>
  <c r="I64" i="9"/>
  <c r="C65" i="9"/>
  <c r="D65" i="9"/>
  <c r="E65" i="9"/>
  <c r="F65" i="9"/>
  <c r="G65" i="9"/>
  <c r="H65" i="9"/>
  <c r="I65" i="9"/>
  <c r="C66" i="9"/>
  <c r="D66" i="9"/>
  <c r="E66" i="9"/>
  <c r="F66" i="9"/>
  <c r="G66" i="9"/>
  <c r="H66" i="9"/>
  <c r="I66" i="9"/>
  <c r="C67" i="9"/>
  <c r="D67" i="9"/>
  <c r="E67" i="9"/>
  <c r="F67" i="9"/>
  <c r="G67" i="9"/>
  <c r="H67" i="9"/>
  <c r="I67" i="9"/>
  <c r="C68" i="9"/>
  <c r="D68" i="9"/>
  <c r="E68" i="9"/>
  <c r="F68" i="9"/>
  <c r="G68" i="9"/>
  <c r="H68" i="9"/>
  <c r="I68" i="9"/>
  <c r="C69" i="9"/>
  <c r="D69" i="9"/>
  <c r="E69" i="9"/>
  <c r="F69" i="9"/>
  <c r="G69" i="9"/>
  <c r="H69" i="9"/>
  <c r="I69" i="9"/>
  <c r="C70" i="9"/>
  <c r="D70" i="9"/>
  <c r="E70" i="9"/>
  <c r="F70" i="9"/>
  <c r="G70" i="9"/>
  <c r="H70" i="9"/>
  <c r="I70" i="9"/>
  <c r="C71" i="9"/>
  <c r="D71" i="9"/>
  <c r="E71" i="9"/>
  <c r="F71" i="9"/>
  <c r="G71" i="9"/>
  <c r="H71" i="9"/>
  <c r="I71" i="9"/>
  <c r="C72" i="9"/>
  <c r="D72" i="9"/>
  <c r="E72" i="9"/>
  <c r="F72" i="9"/>
  <c r="G72" i="9"/>
  <c r="H72" i="9"/>
  <c r="I72" i="9"/>
  <c r="C3" i="8"/>
  <c r="D3" i="8"/>
  <c r="E3" i="8"/>
  <c r="F3" i="8"/>
  <c r="G3" i="8"/>
  <c r="H3" i="8"/>
  <c r="I3" i="8"/>
  <c r="J3" i="8"/>
  <c r="K3" i="8"/>
  <c r="L3" i="8"/>
  <c r="M3" i="8"/>
  <c r="N3" i="8"/>
  <c r="O3" i="8"/>
  <c r="P3" i="8"/>
  <c r="Q3" i="8"/>
  <c r="R3" i="8"/>
  <c r="S3" i="8"/>
  <c r="T3" i="8"/>
  <c r="U3" i="8"/>
  <c r="V3" i="8"/>
  <c r="W3" i="8"/>
  <c r="X3" i="8"/>
  <c r="Y3" i="8"/>
  <c r="Z3" i="8"/>
  <c r="C4" i="8"/>
  <c r="D4" i="8"/>
  <c r="E4" i="8"/>
  <c r="F4" i="8"/>
  <c r="G4" i="8"/>
  <c r="H4" i="8"/>
  <c r="I4" i="8"/>
  <c r="J4" i="8"/>
  <c r="K4" i="8"/>
  <c r="L4" i="8"/>
  <c r="M4" i="8"/>
  <c r="N4" i="8"/>
  <c r="O4" i="8"/>
  <c r="P4" i="8"/>
  <c r="Q4" i="8"/>
  <c r="R4" i="8"/>
  <c r="S4" i="8"/>
  <c r="T4" i="8"/>
  <c r="U4" i="8"/>
  <c r="V4" i="8"/>
  <c r="W4" i="8"/>
  <c r="X4" i="8"/>
  <c r="Y4" i="8"/>
  <c r="Z4" i="8"/>
  <c r="C5" i="8"/>
  <c r="D5" i="8"/>
  <c r="E5" i="8"/>
  <c r="F5" i="8"/>
  <c r="G5" i="8"/>
  <c r="H5" i="8"/>
  <c r="I5" i="8"/>
  <c r="J5" i="8"/>
  <c r="K5" i="8"/>
  <c r="L5" i="8"/>
  <c r="M5" i="8"/>
  <c r="N5" i="8"/>
  <c r="O5" i="8"/>
  <c r="P5" i="8"/>
  <c r="Q5" i="8"/>
  <c r="R5" i="8"/>
  <c r="S5" i="8"/>
  <c r="T5" i="8"/>
  <c r="U5" i="8"/>
  <c r="V5" i="8"/>
  <c r="W5" i="8"/>
  <c r="X5" i="8"/>
  <c r="Y5" i="8"/>
  <c r="Z5" i="8"/>
  <c r="C6" i="8"/>
  <c r="D6" i="8"/>
  <c r="E6" i="8"/>
  <c r="F6" i="8"/>
  <c r="G6" i="8"/>
  <c r="H6" i="8"/>
  <c r="I6" i="8"/>
  <c r="J6" i="8"/>
  <c r="K6" i="8"/>
  <c r="L6" i="8"/>
  <c r="M6" i="8"/>
  <c r="N6" i="8"/>
  <c r="O6" i="8"/>
  <c r="P6" i="8"/>
  <c r="Q6" i="8"/>
  <c r="R6" i="8"/>
  <c r="S6" i="8"/>
  <c r="T6" i="8"/>
  <c r="U6" i="8"/>
  <c r="V6" i="8"/>
  <c r="W6" i="8"/>
  <c r="X6" i="8"/>
  <c r="Y6" i="8"/>
  <c r="Z6" i="8"/>
  <c r="C7" i="8"/>
  <c r="D7" i="8"/>
  <c r="E7" i="8"/>
  <c r="F7" i="8"/>
  <c r="G7" i="8"/>
  <c r="H7" i="8"/>
  <c r="I7" i="8"/>
  <c r="J7" i="8"/>
  <c r="K7" i="8"/>
  <c r="L7" i="8"/>
  <c r="M7" i="8"/>
  <c r="N7" i="8"/>
  <c r="O7" i="8"/>
  <c r="P7" i="8"/>
  <c r="Q7" i="8"/>
  <c r="R7" i="8"/>
  <c r="S7" i="8"/>
  <c r="T7" i="8"/>
  <c r="U7" i="8"/>
  <c r="V7" i="8"/>
  <c r="W7" i="8"/>
  <c r="X7" i="8"/>
  <c r="Y7" i="8"/>
  <c r="Z7" i="8"/>
  <c r="C8" i="8"/>
  <c r="D8" i="8"/>
  <c r="E8" i="8"/>
  <c r="F8" i="8"/>
  <c r="G8" i="8"/>
  <c r="H8" i="8"/>
  <c r="I8" i="8"/>
  <c r="J8" i="8"/>
  <c r="K8" i="8"/>
  <c r="L8" i="8"/>
  <c r="M8" i="8"/>
  <c r="N8" i="8"/>
  <c r="O8" i="8"/>
  <c r="P8" i="8"/>
  <c r="Q8" i="8"/>
  <c r="R8" i="8"/>
  <c r="S8" i="8"/>
  <c r="T8" i="8"/>
  <c r="U8" i="8"/>
  <c r="V8" i="8"/>
  <c r="W8" i="8"/>
  <c r="X8" i="8"/>
  <c r="Y8" i="8"/>
  <c r="Z8" i="8"/>
  <c r="C9" i="8"/>
  <c r="D9" i="8"/>
  <c r="E9" i="8"/>
  <c r="F9" i="8"/>
  <c r="G9" i="8"/>
  <c r="H9" i="8"/>
  <c r="I9" i="8"/>
  <c r="J9" i="8"/>
  <c r="K9" i="8"/>
  <c r="L9" i="8"/>
  <c r="M9" i="8"/>
  <c r="N9" i="8"/>
  <c r="O9" i="8"/>
  <c r="P9" i="8"/>
  <c r="Q9" i="8"/>
  <c r="R9" i="8"/>
  <c r="S9" i="8"/>
  <c r="T9" i="8"/>
  <c r="U9" i="8"/>
  <c r="V9" i="8"/>
  <c r="W9" i="8"/>
  <c r="X9" i="8"/>
  <c r="Y9" i="8"/>
  <c r="Z9" i="8"/>
  <c r="C10" i="8"/>
  <c r="D10" i="8"/>
  <c r="E10" i="8"/>
  <c r="F10" i="8"/>
  <c r="G10" i="8"/>
  <c r="H10" i="8"/>
  <c r="I10" i="8"/>
  <c r="J10" i="8"/>
  <c r="K10" i="8"/>
  <c r="L10" i="8"/>
  <c r="M10" i="8"/>
  <c r="N10" i="8"/>
  <c r="O10" i="8"/>
  <c r="P10" i="8"/>
  <c r="Q10" i="8"/>
  <c r="R10" i="8"/>
  <c r="S10" i="8"/>
  <c r="T10" i="8"/>
  <c r="U10" i="8"/>
  <c r="V10" i="8"/>
  <c r="W10" i="8"/>
  <c r="X10" i="8"/>
  <c r="Y10" i="8"/>
  <c r="Z10" i="8"/>
  <c r="C11" i="8"/>
  <c r="D11" i="8"/>
  <c r="E11" i="8"/>
  <c r="F11" i="8"/>
  <c r="G11" i="8"/>
  <c r="H11" i="8"/>
  <c r="I11" i="8"/>
  <c r="J11" i="8"/>
  <c r="K11" i="8"/>
  <c r="L11" i="8"/>
  <c r="M11" i="8"/>
  <c r="N11" i="8"/>
  <c r="O11" i="8"/>
  <c r="P11" i="8"/>
  <c r="Q11" i="8"/>
  <c r="R11" i="8"/>
  <c r="S11" i="8"/>
  <c r="T11" i="8"/>
  <c r="U11" i="8"/>
  <c r="V11" i="8"/>
  <c r="W11" i="8"/>
  <c r="X11" i="8"/>
  <c r="Y11" i="8"/>
  <c r="Z11" i="8"/>
  <c r="C12" i="8"/>
  <c r="D12" i="8"/>
  <c r="E12" i="8"/>
  <c r="F12" i="8"/>
  <c r="G12" i="8"/>
  <c r="H12" i="8"/>
  <c r="I12" i="8"/>
  <c r="J12" i="8"/>
  <c r="K12" i="8"/>
  <c r="L12" i="8"/>
  <c r="M12" i="8"/>
  <c r="N12" i="8"/>
  <c r="O12" i="8"/>
  <c r="P12" i="8"/>
  <c r="Q12" i="8"/>
  <c r="R12" i="8"/>
  <c r="S12" i="8"/>
  <c r="T12" i="8"/>
  <c r="U12" i="8"/>
  <c r="V12" i="8"/>
  <c r="W12" i="8"/>
  <c r="X12" i="8"/>
  <c r="Y12" i="8"/>
  <c r="Z12" i="8"/>
  <c r="C13" i="8"/>
  <c r="D13" i="8"/>
  <c r="E13" i="8"/>
  <c r="F13" i="8"/>
  <c r="G13" i="8"/>
  <c r="H13" i="8"/>
  <c r="I13" i="8"/>
  <c r="J13" i="8"/>
  <c r="K13" i="8"/>
  <c r="L13" i="8"/>
  <c r="M13" i="8"/>
  <c r="N13" i="8"/>
  <c r="O13" i="8"/>
  <c r="P13" i="8"/>
  <c r="Q13" i="8"/>
  <c r="R13" i="8"/>
  <c r="S13" i="8"/>
  <c r="T13" i="8"/>
  <c r="U13" i="8"/>
  <c r="V13" i="8"/>
  <c r="W13" i="8"/>
  <c r="X13" i="8"/>
  <c r="Y13" i="8"/>
  <c r="Z13" i="8"/>
  <c r="C14" i="8"/>
  <c r="D14" i="8"/>
  <c r="E14" i="8"/>
  <c r="F14" i="8"/>
  <c r="G14" i="8"/>
  <c r="H14" i="8"/>
  <c r="I14" i="8"/>
  <c r="J14" i="8"/>
  <c r="K14" i="8"/>
  <c r="L14" i="8"/>
  <c r="M14" i="8"/>
  <c r="N14" i="8"/>
  <c r="O14" i="8"/>
  <c r="P14" i="8"/>
  <c r="Q14" i="8"/>
  <c r="R14" i="8"/>
  <c r="S14" i="8"/>
  <c r="T14" i="8"/>
  <c r="U14" i="8"/>
  <c r="V14" i="8"/>
  <c r="W14" i="8"/>
  <c r="X14" i="8"/>
  <c r="Y14" i="8"/>
  <c r="Z14" i="8"/>
  <c r="C15" i="8"/>
  <c r="D15" i="8"/>
  <c r="E15" i="8"/>
  <c r="F15" i="8"/>
  <c r="G15" i="8"/>
  <c r="H15" i="8"/>
  <c r="I15" i="8"/>
  <c r="J15" i="8"/>
  <c r="K15" i="8"/>
  <c r="L15" i="8"/>
  <c r="M15" i="8"/>
  <c r="N15" i="8"/>
  <c r="O15" i="8"/>
  <c r="P15" i="8"/>
  <c r="Q15" i="8"/>
  <c r="R15" i="8"/>
  <c r="S15" i="8"/>
  <c r="T15" i="8"/>
  <c r="U15" i="8"/>
  <c r="V15" i="8"/>
  <c r="W15" i="8"/>
  <c r="X15" i="8"/>
  <c r="Y15" i="8"/>
  <c r="Z15" i="8"/>
  <c r="C16" i="8"/>
  <c r="D16" i="8"/>
  <c r="E16" i="8"/>
  <c r="F16" i="8"/>
  <c r="G16" i="8"/>
  <c r="H16" i="8"/>
  <c r="I16" i="8"/>
  <c r="J16" i="8"/>
  <c r="K16" i="8"/>
  <c r="L16" i="8"/>
  <c r="M16" i="8"/>
  <c r="N16" i="8"/>
  <c r="O16" i="8"/>
  <c r="P16" i="8"/>
  <c r="Q16" i="8"/>
  <c r="R16" i="8"/>
  <c r="S16" i="8"/>
  <c r="T16" i="8"/>
  <c r="U16" i="8"/>
  <c r="V16" i="8"/>
  <c r="W16" i="8"/>
  <c r="X16" i="8"/>
  <c r="Y16" i="8"/>
  <c r="Z16" i="8"/>
  <c r="C17" i="8"/>
  <c r="D17" i="8"/>
  <c r="E17" i="8"/>
  <c r="F17" i="8"/>
  <c r="G17" i="8"/>
  <c r="H17" i="8"/>
  <c r="I17" i="8"/>
  <c r="J17" i="8"/>
  <c r="K17" i="8"/>
  <c r="L17" i="8"/>
  <c r="M17" i="8"/>
  <c r="N17" i="8"/>
  <c r="O17" i="8"/>
  <c r="P17" i="8"/>
  <c r="Q17" i="8"/>
  <c r="R17" i="8"/>
  <c r="S17" i="8"/>
  <c r="T17" i="8"/>
  <c r="U17" i="8"/>
  <c r="V17" i="8"/>
  <c r="W17" i="8"/>
  <c r="X17" i="8"/>
  <c r="Y17" i="8"/>
  <c r="Z17" i="8"/>
  <c r="C18" i="8"/>
  <c r="D18" i="8"/>
  <c r="E18" i="8"/>
  <c r="F18" i="8"/>
  <c r="G18" i="8"/>
  <c r="H18" i="8"/>
  <c r="I18" i="8"/>
  <c r="J18" i="8"/>
  <c r="K18" i="8"/>
  <c r="L18" i="8"/>
  <c r="M18" i="8"/>
  <c r="N18" i="8"/>
  <c r="O18" i="8"/>
  <c r="P18" i="8"/>
  <c r="Q18" i="8"/>
  <c r="R18" i="8"/>
  <c r="S18" i="8"/>
  <c r="T18" i="8"/>
  <c r="U18" i="8"/>
  <c r="V18" i="8"/>
  <c r="W18" i="8"/>
  <c r="X18" i="8"/>
  <c r="Y18" i="8"/>
  <c r="Z18" i="8"/>
  <c r="C19" i="8"/>
  <c r="D19" i="8"/>
  <c r="E19" i="8"/>
  <c r="F19" i="8"/>
  <c r="G19" i="8"/>
  <c r="H19" i="8"/>
  <c r="I19" i="8"/>
  <c r="J19" i="8"/>
  <c r="K19" i="8"/>
  <c r="L19" i="8"/>
  <c r="M19" i="8"/>
  <c r="N19" i="8"/>
  <c r="O19" i="8"/>
  <c r="P19" i="8"/>
  <c r="Q19" i="8"/>
  <c r="R19" i="8"/>
  <c r="S19" i="8"/>
  <c r="T19" i="8"/>
  <c r="U19" i="8"/>
  <c r="V19" i="8"/>
  <c r="W19" i="8"/>
  <c r="X19" i="8"/>
  <c r="Y19" i="8"/>
  <c r="Z19" i="8"/>
  <c r="C20" i="8"/>
  <c r="D20" i="8"/>
  <c r="E20" i="8"/>
  <c r="F20" i="8"/>
  <c r="G20" i="8"/>
  <c r="H20" i="8"/>
  <c r="I20" i="8"/>
  <c r="J20" i="8"/>
  <c r="K20" i="8"/>
  <c r="L20" i="8"/>
  <c r="M20" i="8"/>
  <c r="N20" i="8"/>
  <c r="O20" i="8"/>
  <c r="P20" i="8"/>
  <c r="Q20" i="8"/>
  <c r="R20" i="8"/>
  <c r="S20" i="8"/>
  <c r="T20" i="8"/>
  <c r="U20" i="8"/>
  <c r="V20" i="8"/>
  <c r="W20" i="8"/>
  <c r="X20" i="8"/>
  <c r="Y20" i="8"/>
  <c r="Z20" i="8"/>
  <c r="C21" i="8"/>
  <c r="D21" i="8"/>
  <c r="E21" i="8"/>
  <c r="F21" i="8"/>
  <c r="G21" i="8"/>
  <c r="H21" i="8"/>
  <c r="I21" i="8"/>
  <c r="J21" i="8"/>
  <c r="K21" i="8"/>
  <c r="L21" i="8"/>
  <c r="M21" i="8"/>
  <c r="N21" i="8"/>
  <c r="O21" i="8"/>
  <c r="P21" i="8"/>
  <c r="Q21" i="8"/>
  <c r="R21" i="8"/>
  <c r="S21" i="8"/>
  <c r="T21" i="8"/>
  <c r="U21" i="8"/>
  <c r="V21" i="8"/>
  <c r="W21" i="8"/>
  <c r="X21" i="8"/>
  <c r="Y21" i="8"/>
  <c r="Z21" i="8"/>
  <c r="C22" i="8"/>
  <c r="D22" i="8"/>
  <c r="E22" i="8"/>
  <c r="F22" i="8"/>
  <c r="G22" i="8"/>
  <c r="H22" i="8"/>
  <c r="I22" i="8"/>
  <c r="J22" i="8"/>
  <c r="K22" i="8"/>
  <c r="L22" i="8"/>
  <c r="M22" i="8"/>
  <c r="N22" i="8"/>
  <c r="O22" i="8"/>
  <c r="P22" i="8"/>
  <c r="Q22" i="8"/>
  <c r="R22" i="8"/>
  <c r="S22" i="8"/>
  <c r="T22" i="8"/>
  <c r="U22" i="8"/>
  <c r="V22" i="8"/>
  <c r="W22" i="8"/>
  <c r="X22" i="8"/>
  <c r="Y22" i="8"/>
  <c r="Z22" i="8"/>
  <c r="C23" i="8"/>
  <c r="D23" i="8"/>
  <c r="E23" i="8"/>
  <c r="F23" i="8"/>
  <c r="G23" i="8"/>
  <c r="H23" i="8"/>
  <c r="I23" i="8"/>
  <c r="J23" i="8"/>
  <c r="K23" i="8"/>
  <c r="L23" i="8"/>
  <c r="M23" i="8"/>
  <c r="N23" i="8"/>
  <c r="O23" i="8"/>
  <c r="P23" i="8"/>
  <c r="Q23" i="8"/>
  <c r="R23" i="8"/>
  <c r="S23" i="8"/>
  <c r="T23" i="8"/>
  <c r="U23" i="8"/>
  <c r="V23" i="8"/>
  <c r="W23" i="8"/>
  <c r="X23" i="8"/>
  <c r="Y23" i="8"/>
  <c r="Z23" i="8"/>
  <c r="C24" i="8"/>
  <c r="D24" i="8"/>
  <c r="E24" i="8"/>
  <c r="F24" i="8"/>
  <c r="G24" i="8"/>
  <c r="H24" i="8"/>
  <c r="I24" i="8"/>
  <c r="J24" i="8"/>
  <c r="K24" i="8"/>
  <c r="L24" i="8"/>
  <c r="M24" i="8"/>
  <c r="N24" i="8"/>
  <c r="O24" i="8"/>
  <c r="P24" i="8"/>
  <c r="Q24" i="8"/>
  <c r="R24" i="8"/>
  <c r="S24" i="8"/>
  <c r="T24" i="8"/>
  <c r="U24" i="8"/>
  <c r="V24" i="8"/>
  <c r="W24" i="8"/>
  <c r="X24" i="8"/>
  <c r="Y24" i="8"/>
  <c r="Z24" i="8"/>
  <c r="C25" i="8"/>
  <c r="D25" i="8"/>
  <c r="E25" i="8"/>
  <c r="F25" i="8"/>
  <c r="G25" i="8"/>
  <c r="H25" i="8"/>
  <c r="I25" i="8"/>
  <c r="J25" i="8"/>
  <c r="K25" i="8"/>
  <c r="L25" i="8"/>
  <c r="M25" i="8"/>
  <c r="N25" i="8"/>
  <c r="O25" i="8"/>
  <c r="P25" i="8"/>
  <c r="Q25" i="8"/>
  <c r="R25" i="8"/>
  <c r="S25" i="8"/>
  <c r="T25" i="8"/>
  <c r="U25" i="8"/>
  <c r="V25" i="8"/>
  <c r="W25" i="8"/>
  <c r="X25" i="8"/>
  <c r="Y25" i="8"/>
  <c r="Z25" i="8"/>
  <c r="C26" i="8"/>
  <c r="D26" i="8"/>
  <c r="E26" i="8"/>
  <c r="F26" i="8"/>
  <c r="G26" i="8"/>
  <c r="H26" i="8"/>
  <c r="I26" i="8"/>
  <c r="J26" i="8"/>
  <c r="K26" i="8"/>
  <c r="L26" i="8"/>
  <c r="M26" i="8"/>
  <c r="N26" i="8"/>
  <c r="O26" i="8"/>
  <c r="P26" i="8"/>
  <c r="Q26" i="8"/>
  <c r="R26" i="8"/>
  <c r="S26" i="8"/>
  <c r="T26" i="8"/>
  <c r="U26" i="8"/>
  <c r="V26" i="8"/>
  <c r="W26" i="8"/>
  <c r="X26" i="8"/>
  <c r="Y26" i="8"/>
  <c r="Z26" i="8"/>
  <c r="C27" i="8"/>
  <c r="D27" i="8"/>
  <c r="E27" i="8"/>
  <c r="F27" i="8"/>
  <c r="G27" i="8"/>
  <c r="H27" i="8"/>
  <c r="I27" i="8"/>
  <c r="J27" i="8"/>
  <c r="K27" i="8"/>
  <c r="L27" i="8"/>
  <c r="M27" i="8"/>
  <c r="N27" i="8"/>
  <c r="O27" i="8"/>
  <c r="P27" i="8"/>
  <c r="Q27" i="8"/>
  <c r="R27" i="8"/>
  <c r="S27" i="8"/>
  <c r="T27" i="8"/>
  <c r="U27" i="8"/>
  <c r="V27" i="8"/>
  <c r="W27" i="8"/>
  <c r="X27" i="8"/>
  <c r="Y27" i="8"/>
  <c r="Z27" i="8"/>
  <c r="C28" i="8"/>
  <c r="D28" i="8"/>
  <c r="E28" i="8"/>
  <c r="F28" i="8"/>
  <c r="G28" i="8"/>
  <c r="H28" i="8"/>
  <c r="I28" i="8"/>
  <c r="J28" i="8"/>
  <c r="K28" i="8"/>
  <c r="L28" i="8"/>
  <c r="M28" i="8"/>
  <c r="N28" i="8"/>
  <c r="O28" i="8"/>
  <c r="P28" i="8"/>
  <c r="Q28" i="8"/>
  <c r="R28" i="8"/>
  <c r="S28" i="8"/>
  <c r="T28" i="8"/>
  <c r="U28" i="8"/>
  <c r="V28" i="8"/>
  <c r="W28" i="8"/>
  <c r="X28" i="8"/>
  <c r="Y28" i="8"/>
  <c r="Z28" i="8"/>
  <c r="C3" i="7"/>
  <c r="D3" i="7"/>
  <c r="E3" i="7"/>
  <c r="F3" i="7"/>
  <c r="G3" i="7"/>
  <c r="H3" i="7"/>
  <c r="I3" i="7"/>
  <c r="J3" i="7"/>
  <c r="K3" i="7"/>
  <c r="L3" i="7"/>
  <c r="M3" i="7"/>
  <c r="N3" i="7"/>
  <c r="O3" i="7"/>
  <c r="P3" i="7"/>
  <c r="Q3" i="7"/>
  <c r="R3" i="7"/>
  <c r="C4" i="7"/>
  <c r="D4" i="7"/>
  <c r="E4" i="7"/>
  <c r="F4" i="7"/>
  <c r="G4" i="7"/>
  <c r="H4" i="7"/>
  <c r="I4" i="7"/>
  <c r="J4" i="7"/>
  <c r="K4" i="7"/>
  <c r="L4" i="7"/>
  <c r="M4" i="7"/>
  <c r="N4" i="7"/>
  <c r="O4" i="7"/>
  <c r="P4" i="7"/>
  <c r="Q4" i="7"/>
  <c r="R4" i="7"/>
  <c r="C5" i="7"/>
  <c r="D5" i="7"/>
  <c r="E5" i="7"/>
  <c r="F5" i="7"/>
  <c r="G5" i="7"/>
  <c r="H5" i="7"/>
  <c r="I5" i="7"/>
  <c r="J5" i="7"/>
  <c r="K5" i="7"/>
  <c r="L5" i="7"/>
  <c r="M5" i="7"/>
  <c r="N5" i="7"/>
  <c r="O5" i="7"/>
  <c r="P5" i="7"/>
  <c r="Q5" i="7"/>
  <c r="R5" i="7"/>
  <c r="C6" i="7"/>
  <c r="D6" i="7"/>
  <c r="E6" i="7"/>
  <c r="F6" i="7"/>
  <c r="G6" i="7"/>
  <c r="H6" i="7"/>
  <c r="I6" i="7"/>
  <c r="J6" i="7"/>
  <c r="K6" i="7"/>
  <c r="L6" i="7"/>
  <c r="M6" i="7"/>
  <c r="N6" i="7"/>
  <c r="O6" i="7"/>
  <c r="P6" i="7"/>
  <c r="Q6" i="7"/>
  <c r="R6" i="7"/>
  <c r="C7" i="7"/>
  <c r="D7" i="7"/>
  <c r="E7" i="7"/>
  <c r="F7" i="7"/>
  <c r="G7" i="7"/>
  <c r="H7" i="7"/>
  <c r="I7" i="7"/>
  <c r="J7" i="7"/>
  <c r="K7" i="7"/>
  <c r="L7" i="7"/>
  <c r="M7" i="7"/>
  <c r="N7" i="7"/>
  <c r="O7" i="7"/>
  <c r="P7" i="7"/>
  <c r="Q7" i="7"/>
  <c r="R7" i="7"/>
  <c r="C8" i="7"/>
  <c r="D8" i="7"/>
  <c r="E8" i="7"/>
  <c r="F8" i="7"/>
  <c r="G8" i="7"/>
  <c r="H8" i="7"/>
  <c r="I8" i="7"/>
  <c r="J8" i="7"/>
  <c r="K8" i="7"/>
  <c r="L8" i="7"/>
  <c r="M8" i="7"/>
  <c r="N8" i="7"/>
  <c r="O8" i="7"/>
  <c r="P8" i="7"/>
  <c r="Q8" i="7"/>
  <c r="R8" i="7"/>
  <c r="C9" i="7"/>
  <c r="D9" i="7"/>
  <c r="E9" i="7"/>
  <c r="F9" i="7"/>
  <c r="G9" i="7"/>
  <c r="H9" i="7"/>
  <c r="I9" i="7"/>
  <c r="J9" i="7"/>
  <c r="K9" i="7"/>
  <c r="L9" i="7"/>
  <c r="M9" i="7"/>
  <c r="N9" i="7"/>
  <c r="O9" i="7"/>
  <c r="P9" i="7"/>
  <c r="Q9" i="7"/>
  <c r="R9" i="7"/>
  <c r="C10" i="7"/>
  <c r="D10" i="7"/>
  <c r="E10" i="7"/>
  <c r="F10" i="7"/>
  <c r="G10" i="7"/>
  <c r="H10" i="7"/>
  <c r="I10" i="7"/>
  <c r="J10" i="7"/>
  <c r="K10" i="7"/>
  <c r="L10" i="7"/>
  <c r="M10" i="7"/>
  <c r="N10" i="7"/>
  <c r="O10" i="7"/>
  <c r="P10" i="7"/>
  <c r="Q10" i="7"/>
  <c r="R10" i="7"/>
  <c r="C11" i="7"/>
  <c r="D11" i="7"/>
  <c r="E11" i="7"/>
  <c r="F11" i="7"/>
  <c r="G11" i="7"/>
  <c r="H11" i="7"/>
  <c r="I11" i="7"/>
  <c r="J11" i="7"/>
  <c r="K11" i="7"/>
  <c r="L11" i="7"/>
  <c r="M11" i="7"/>
  <c r="N11" i="7"/>
  <c r="O11" i="7"/>
  <c r="P11" i="7"/>
  <c r="Q11" i="7"/>
  <c r="R11" i="7"/>
  <c r="C12" i="7"/>
  <c r="D12" i="7"/>
  <c r="E12" i="7"/>
  <c r="F12" i="7"/>
  <c r="G12" i="7"/>
  <c r="H12" i="7"/>
  <c r="I12" i="7"/>
  <c r="J12" i="7"/>
  <c r="K12" i="7"/>
  <c r="L12" i="7"/>
  <c r="M12" i="7"/>
  <c r="N12" i="7"/>
  <c r="O12" i="7"/>
  <c r="P12" i="7"/>
  <c r="Q12" i="7"/>
  <c r="R12" i="7"/>
  <c r="C13" i="7"/>
  <c r="D13" i="7"/>
  <c r="E13" i="7"/>
  <c r="F13" i="7"/>
  <c r="G13" i="7"/>
  <c r="H13" i="7"/>
  <c r="I13" i="7"/>
  <c r="J13" i="7"/>
  <c r="K13" i="7"/>
  <c r="L13" i="7"/>
  <c r="M13" i="7"/>
  <c r="N13" i="7"/>
  <c r="O13" i="7"/>
  <c r="P13" i="7"/>
  <c r="Q13" i="7"/>
  <c r="R13" i="7"/>
  <c r="C14" i="7"/>
  <c r="D14" i="7"/>
  <c r="E14" i="7"/>
  <c r="F14" i="7"/>
  <c r="G14" i="7"/>
  <c r="H14" i="7"/>
  <c r="I14" i="7"/>
  <c r="J14" i="7"/>
  <c r="K14" i="7"/>
  <c r="L14" i="7"/>
  <c r="M14" i="7"/>
  <c r="N14" i="7"/>
  <c r="O14" i="7"/>
  <c r="P14" i="7"/>
  <c r="Q14" i="7"/>
  <c r="R14" i="7"/>
  <c r="C15" i="7"/>
  <c r="D15" i="7"/>
  <c r="E15" i="7"/>
  <c r="F15" i="7"/>
  <c r="G15" i="7"/>
  <c r="H15" i="7"/>
  <c r="I15" i="7"/>
  <c r="J15" i="7"/>
  <c r="K15" i="7"/>
  <c r="L15" i="7"/>
  <c r="M15" i="7"/>
  <c r="N15" i="7"/>
  <c r="O15" i="7"/>
  <c r="P15" i="7"/>
  <c r="Q15" i="7"/>
  <c r="R15" i="7"/>
  <c r="C16" i="7"/>
  <c r="D16" i="7"/>
  <c r="E16" i="7"/>
  <c r="F16" i="7"/>
  <c r="G16" i="7"/>
  <c r="H16" i="7"/>
  <c r="I16" i="7"/>
  <c r="J16" i="7"/>
  <c r="K16" i="7"/>
  <c r="L16" i="7"/>
  <c r="M16" i="7"/>
  <c r="N16" i="7"/>
  <c r="O16" i="7"/>
  <c r="P16" i="7"/>
  <c r="Q16" i="7"/>
  <c r="R16" i="7"/>
  <c r="C17" i="7"/>
  <c r="D17" i="7"/>
  <c r="E17" i="7"/>
  <c r="F17" i="7"/>
  <c r="G17" i="7"/>
  <c r="H17" i="7"/>
  <c r="I17" i="7"/>
  <c r="J17" i="7"/>
  <c r="K17" i="7"/>
  <c r="L17" i="7"/>
  <c r="M17" i="7"/>
  <c r="N17" i="7"/>
  <c r="O17" i="7"/>
  <c r="P17" i="7"/>
  <c r="Q17" i="7"/>
  <c r="R17" i="7"/>
  <c r="C18" i="7"/>
  <c r="D18" i="7"/>
  <c r="E18" i="7"/>
  <c r="F18" i="7"/>
  <c r="G18" i="7"/>
  <c r="H18" i="7"/>
  <c r="I18" i="7"/>
  <c r="J18" i="7"/>
  <c r="K18" i="7"/>
  <c r="L18" i="7"/>
  <c r="M18" i="7"/>
  <c r="N18" i="7"/>
  <c r="O18" i="7"/>
  <c r="P18" i="7"/>
  <c r="Q18" i="7"/>
  <c r="R18" i="7"/>
  <c r="C19" i="7"/>
  <c r="D19" i="7"/>
  <c r="E19" i="7"/>
  <c r="F19" i="7"/>
  <c r="G19" i="7"/>
  <c r="H19" i="7"/>
  <c r="I19" i="7"/>
  <c r="J19" i="7"/>
  <c r="K19" i="7"/>
  <c r="L19" i="7"/>
  <c r="M19" i="7"/>
  <c r="N19" i="7"/>
  <c r="O19" i="7"/>
  <c r="P19" i="7"/>
  <c r="Q19" i="7"/>
  <c r="R19" i="7"/>
  <c r="C20" i="7"/>
  <c r="D20" i="7"/>
  <c r="E20" i="7"/>
  <c r="F20" i="7"/>
  <c r="G20" i="7"/>
  <c r="H20" i="7"/>
  <c r="I20" i="7"/>
  <c r="J20" i="7"/>
  <c r="K20" i="7"/>
  <c r="L20" i="7"/>
  <c r="M20" i="7"/>
  <c r="N20" i="7"/>
  <c r="O20" i="7"/>
  <c r="P20" i="7"/>
  <c r="Q20" i="7"/>
  <c r="R20" i="7"/>
  <c r="C21" i="7"/>
  <c r="D21" i="7"/>
  <c r="E21" i="7"/>
  <c r="F21" i="7"/>
  <c r="G21" i="7"/>
  <c r="H21" i="7"/>
  <c r="I21" i="7"/>
  <c r="J21" i="7"/>
  <c r="K21" i="7"/>
  <c r="L21" i="7"/>
  <c r="M21" i="7"/>
  <c r="N21" i="7"/>
  <c r="O21" i="7"/>
  <c r="P21" i="7"/>
  <c r="Q21" i="7"/>
  <c r="R21" i="7"/>
  <c r="C22" i="7"/>
  <c r="D22" i="7"/>
  <c r="E22" i="7"/>
  <c r="F22" i="7"/>
  <c r="G22" i="7"/>
  <c r="H22" i="7"/>
  <c r="I22" i="7"/>
  <c r="J22" i="7"/>
  <c r="K22" i="7"/>
  <c r="L22" i="7"/>
  <c r="M22" i="7"/>
  <c r="N22" i="7"/>
  <c r="O22" i="7"/>
  <c r="P22" i="7"/>
  <c r="Q22" i="7"/>
  <c r="R22" i="7"/>
  <c r="C23" i="7"/>
  <c r="D23" i="7"/>
  <c r="E23" i="7"/>
  <c r="F23" i="7"/>
  <c r="G23" i="7"/>
  <c r="H23" i="7"/>
  <c r="I23" i="7"/>
  <c r="J23" i="7"/>
  <c r="K23" i="7"/>
  <c r="L23" i="7"/>
  <c r="M23" i="7"/>
  <c r="N23" i="7"/>
  <c r="O23" i="7"/>
  <c r="P23" i="7"/>
  <c r="Q23" i="7"/>
  <c r="R23" i="7"/>
  <c r="C24" i="7"/>
  <c r="D24" i="7"/>
  <c r="E24" i="7"/>
  <c r="F24" i="7"/>
  <c r="G24" i="7"/>
  <c r="H24" i="7"/>
  <c r="I24" i="7"/>
  <c r="J24" i="7"/>
  <c r="K24" i="7"/>
  <c r="L24" i="7"/>
  <c r="M24" i="7"/>
  <c r="N24" i="7"/>
  <c r="O24" i="7"/>
  <c r="P24" i="7"/>
  <c r="Q24" i="7"/>
  <c r="R24" i="7"/>
  <c r="C25" i="7"/>
  <c r="D25" i="7"/>
  <c r="E25" i="7"/>
  <c r="F25" i="7"/>
  <c r="G25" i="7"/>
  <c r="H25" i="7"/>
  <c r="I25" i="7"/>
  <c r="J25" i="7"/>
  <c r="K25" i="7"/>
  <c r="L25" i="7"/>
  <c r="M25" i="7"/>
  <c r="N25" i="7"/>
  <c r="O25" i="7"/>
  <c r="P25" i="7"/>
  <c r="Q25" i="7"/>
  <c r="R25" i="7"/>
  <c r="C26" i="7"/>
  <c r="D26" i="7"/>
  <c r="E26" i="7"/>
  <c r="F26" i="7"/>
  <c r="G26" i="7"/>
  <c r="H26" i="7"/>
  <c r="I26" i="7"/>
  <c r="J26" i="7"/>
  <c r="K26" i="7"/>
  <c r="L26" i="7"/>
  <c r="M26" i="7"/>
  <c r="N26" i="7"/>
  <c r="O26" i="7"/>
  <c r="P26" i="7"/>
  <c r="Q26" i="7"/>
  <c r="R26" i="7"/>
  <c r="C27" i="7"/>
  <c r="D27" i="7"/>
  <c r="E27" i="7"/>
  <c r="F27" i="7"/>
  <c r="G27" i="7"/>
  <c r="H27" i="7"/>
  <c r="I27" i="7"/>
  <c r="J27" i="7"/>
  <c r="K27" i="7"/>
  <c r="L27" i="7"/>
  <c r="M27" i="7"/>
  <c r="N27" i="7"/>
  <c r="O27" i="7"/>
  <c r="P27" i="7"/>
  <c r="Q27" i="7"/>
  <c r="R27" i="7"/>
  <c r="C28" i="7"/>
  <c r="D28" i="7"/>
  <c r="E28" i="7"/>
  <c r="F28" i="7"/>
  <c r="G28" i="7"/>
  <c r="H28" i="7"/>
  <c r="I28" i="7"/>
  <c r="J28" i="7"/>
  <c r="K28" i="7"/>
  <c r="L28" i="7"/>
  <c r="M28" i="7"/>
  <c r="N28" i="7"/>
  <c r="O28" i="7"/>
  <c r="P28" i="7"/>
  <c r="Q28" i="7"/>
  <c r="R28" i="7"/>
  <c r="C29" i="7"/>
  <c r="D29" i="7"/>
  <c r="E29" i="7"/>
  <c r="F29" i="7"/>
  <c r="G29" i="7"/>
  <c r="H29" i="7"/>
  <c r="I29" i="7"/>
  <c r="J29" i="7"/>
  <c r="K29" i="7"/>
  <c r="L29" i="7"/>
  <c r="M29" i="7"/>
  <c r="N29" i="7"/>
  <c r="O29" i="7"/>
  <c r="P29" i="7"/>
  <c r="Q29" i="7"/>
  <c r="R29" i="7"/>
  <c r="C30" i="7"/>
  <c r="D30" i="7"/>
  <c r="E30" i="7"/>
  <c r="F30" i="7"/>
  <c r="G30" i="7"/>
  <c r="H30" i="7"/>
  <c r="I30" i="7"/>
  <c r="J30" i="7"/>
  <c r="K30" i="7"/>
  <c r="L30" i="7"/>
  <c r="M30" i="7"/>
  <c r="N30" i="7"/>
  <c r="O30" i="7"/>
  <c r="P30" i="7"/>
  <c r="Q30" i="7"/>
  <c r="R30" i="7"/>
  <c r="C31" i="7"/>
  <c r="D31" i="7"/>
  <c r="E31" i="7"/>
  <c r="F31" i="7"/>
  <c r="G31" i="7"/>
  <c r="H31" i="7"/>
  <c r="I31" i="7"/>
  <c r="J31" i="7"/>
  <c r="K31" i="7"/>
  <c r="L31" i="7"/>
  <c r="M31" i="7"/>
  <c r="N31" i="7"/>
  <c r="O31" i="7"/>
  <c r="P31" i="7"/>
  <c r="Q31" i="7"/>
  <c r="R31" i="7"/>
  <c r="C32" i="7"/>
  <c r="D32" i="7"/>
  <c r="E32" i="7"/>
  <c r="F32" i="7"/>
  <c r="G32" i="7"/>
  <c r="H32" i="7"/>
  <c r="I32" i="7"/>
  <c r="J32" i="7"/>
  <c r="K32" i="7"/>
  <c r="L32" i="7"/>
  <c r="M32" i="7"/>
  <c r="N32" i="7"/>
  <c r="O32" i="7"/>
  <c r="P32" i="7"/>
  <c r="Q32" i="7"/>
  <c r="R32" i="7"/>
  <c r="C33" i="7"/>
  <c r="D33" i="7"/>
  <c r="E33" i="7"/>
  <c r="F33" i="7"/>
  <c r="G33" i="7"/>
  <c r="H33" i="7"/>
  <c r="I33" i="7"/>
  <c r="J33" i="7"/>
  <c r="K33" i="7"/>
  <c r="L33" i="7"/>
  <c r="M33" i="7"/>
  <c r="N33" i="7"/>
  <c r="O33" i="7"/>
  <c r="P33" i="7"/>
  <c r="Q33" i="7"/>
  <c r="R33" i="7"/>
  <c r="C34" i="7"/>
  <c r="D34" i="7"/>
  <c r="E34" i="7"/>
  <c r="F34" i="7"/>
  <c r="G34" i="7"/>
  <c r="H34" i="7"/>
  <c r="I34" i="7"/>
  <c r="J34" i="7"/>
  <c r="K34" i="7"/>
  <c r="L34" i="7"/>
  <c r="M34" i="7"/>
  <c r="N34" i="7"/>
  <c r="O34" i="7"/>
  <c r="P34" i="7"/>
  <c r="Q34" i="7"/>
  <c r="R34" i="7"/>
  <c r="C35" i="7"/>
  <c r="D35" i="7"/>
  <c r="E35" i="7"/>
  <c r="F35" i="7"/>
  <c r="G35" i="7"/>
  <c r="H35" i="7"/>
  <c r="I35" i="7"/>
  <c r="J35" i="7"/>
  <c r="K35" i="7"/>
  <c r="L35" i="7"/>
  <c r="M35" i="7"/>
  <c r="N35" i="7"/>
  <c r="O35" i="7"/>
  <c r="P35" i="7"/>
  <c r="Q35" i="7"/>
  <c r="R35" i="7"/>
  <c r="K5" i="2"/>
  <c r="L5" i="2"/>
  <c r="P5" i="2"/>
  <c r="O5" i="2"/>
  <c r="S5" i="2"/>
  <c r="K6" i="2"/>
  <c r="P6" i="2"/>
  <c r="O6" i="2"/>
  <c r="N6" i="2" s="1"/>
  <c r="M6" i="2" s="1"/>
  <c r="R6" i="2"/>
  <c r="R7" i="2" s="1"/>
  <c r="R8" i="2" s="1"/>
  <c r="R9" i="2" s="1"/>
  <c r="R10" i="2" s="1"/>
  <c r="R11" i="2" s="1"/>
  <c r="R12" i="2" s="1"/>
  <c r="R13" i="2" s="1"/>
  <c r="R14" i="2" s="1"/>
  <c r="R15" i="2" s="1"/>
  <c r="R16" i="2" s="1"/>
  <c r="R17" i="2" s="1"/>
  <c r="R18" i="2" s="1"/>
  <c r="R19" i="2" s="1"/>
  <c r="R20" i="2" s="1"/>
  <c r="R21" i="2" s="1"/>
  <c r="R22" i="2" s="1"/>
  <c r="R23" i="2" s="1"/>
  <c r="R24" i="2" s="1"/>
  <c r="R25" i="2" s="1"/>
  <c r="R26" i="2" s="1"/>
  <c r="R27" i="2" s="1"/>
  <c r="R28" i="2" s="1"/>
  <c r="R29" i="2" s="1"/>
  <c r="R30" i="2" s="1"/>
  <c r="R31" i="2" s="1"/>
  <c r="R32" i="2" s="1"/>
  <c r="R33" i="2" s="1"/>
  <c r="R34" i="2" s="1"/>
  <c r="R35" i="2" s="1"/>
  <c r="R36" i="2" s="1"/>
  <c r="R37" i="2" s="1"/>
  <c r="R38" i="2" s="1"/>
  <c r="R39" i="2" s="1"/>
  <c r="R40" i="2" s="1"/>
  <c r="R41" i="2" s="1"/>
  <c r="R42" i="2" s="1"/>
  <c r="R43" i="2" s="1"/>
  <c r="R44" i="2" s="1"/>
  <c r="R45" i="2" s="1"/>
  <c r="R46" i="2" s="1"/>
  <c r="R47" i="2" s="1"/>
  <c r="R48" i="2" s="1"/>
  <c r="R49" i="2" s="1"/>
  <c r="R50" i="2" s="1"/>
  <c r="R51" i="2" s="1"/>
  <c r="R52" i="2" s="1"/>
  <c r="R53" i="2" s="1"/>
  <c r="R54" i="2" s="1"/>
  <c r="R55" i="2" s="1"/>
  <c r="R56" i="2" s="1"/>
  <c r="R57" i="2" s="1"/>
  <c r="R58" i="2" s="1"/>
  <c r="R59" i="2" s="1"/>
  <c r="R60" i="2" s="1"/>
  <c r="R61" i="2" s="1"/>
  <c r="R62" i="2" s="1"/>
  <c r="R63" i="2" s="1"/>
  <c r="R64" i="2" s="1"/>
  <c r="R65" i="2" s="1"/>
  <c r="R66" i="2" s="1"/>
  <c r="R67" i="2" s="1"/>
  <c r="R68" i="2" s="1"/>
  <c r="R69" i="2" s="1"/>
  <c r="R70" i="2" s="1"/>
  <c r="R71" i="2" s="1"/>
  <c r="R72" i="2" s="1"/>
  <c r="R73" i="2" s="1"/>
  <c r="R74" i="2" s="1"/>
  <c r="R75" i="2" s="1"/>
  <c r="R76" i="2" s="1"/>
  <c r="R77" i="2" s="1"/>
  <c r="R78" i="2" s="1"/>
  <c r="R79" i="2" s="1"/>
  <c r="R80" i="2" s="1"/>
  <c r="R81" i="2" s="1"/>
  <c r="S6" i="2"/>
  <c r="K7" i="2"/>
  <c r="P7" i="2"/>
  <c r="O7" i="2"/>
  <c r="N7" i="2" s="1"/>
  <c r="M7" i="2" s="1"/>
  <c r="S7" i="2"/>
  <c r="L8" i="2"/>
  <c r="P8" i="2"/>
  <c r="O8" i="2"/>
  <c r="S8" i="2"/>
  <c r="P9" i="2"/>
  <c r="O9" i="2"/>
  <c r="N9" i="2" s="1"/>
  <c r="M9" i="2" s="1"/>
  <c r="S9" i="2"/>
  <c r="P10" i="2"/>
  <c r="O10" i="2"/>
  <c r="S10" i="2"/>
  <c r="L11" i="2"/>
  <c r="P11" i="2"/>
  <c r="O11" i="2"/>
  <c r="S11" i="2"/>
  <c r="L12" i="2"/>
  <c r="P12" i="2"/>
  <c r="O12" i="2"/>
  <c r="N12" i="2"/>
  <c r="M12" i="2" s="1"/>
  <c r="S12" i="2"/>
  <c r="P13" i="2"/>
  <c r="O13" i="2"/>
  <c r="S13" i="2"/>
  <c r="L14" i="2"/>
  <c r="P14" i="2"/>
  <c r="O14" i="2"/>
  <c r="S14" i="2"/>
  <c r="L15" i="2"/>
  <c r="P15" i="2"/>
  <c r="O15" i="2"/>
  <c r="S15" i="2"/>
  <c r="P16" i="2"/>
  <c r="O16" i="2"/>
  <c r="N16" i="2" s="1"/>
  <c r="M16" i="2" s="1"/>
  <c r="S16" i="2"/>
  <c r="P17" i="2"/>
  <c r="O17" i="2"/>
  <c r="S17" i="2"/>
  <c r="L18" i="2"/>
  <c r="P18" i="2"/>
  <c r="O18" i="2"/>
  <c r="S18" i="2"/>
  <c r="L19" i="2"/>
  <c r="P19" i="2"/>
  <c r="O19" i="2"/>
  <c r="S19" i="2"/>
  <c r="P20" i="2"/>
  <c r="O20" i="2"/>
  <c r="S20" i="2"/>
  <c r="L21" i="2"/>
  <c r="P21" i="2"/>
  <c r="O21" i="2"/>
  <c r="S21" i="2"/>
  <c r="K22" i="2"/>
  <c r="P22" i="2"/>
  <c r="O22" i="2"/>
  <c r="S22" i="2"/>
  <c r="K23" i="2"/>
  <c r="P23" i="2"/>
  <c r="O23" i="2"/>
  <c r="S23" i="2"/>
  <c r="K24" i="2"/>
  <c r="L24" i="2"/>
  <c r="P24" i="2"/>
  <c r="O24" i="2"/>
  <c r="S24" i="2"/>
  <c r="K25" i="2"/>
  <c r="L25" i="2"/>
  <c r="P25" i="2"/>
  <c r="O25" i="2"/>
  <c r="S25" i="2"/>
  <c r="K26" i="2"/>
  <c r="P26" i="2"/>
  <c r="O26" i="2"/>
  <c r="S26" i="2"/>
  <c r="K27" i="2"/>
  <c r="L27" i="2"/>
  <c r="P27" i="2"/>
  <c r="O27" i="2"/>
  <c r="S27" i="2"/>
  <c r="K28" i="2"/>
  <c r="P28" i="2"/>
  <c r="O28" i="2"/>
  <c r="S28" i="2"/>
  <c r="K29" i="2"/>
  <c r="L29" i="2"/>
  <c r="P29" i="2"/>
  <c r="O29" i="2"/>
  <c r="S29" i="2"/>
  <c r="K30" i="2"/>
  <c r="L30" i="2"/>
  <c r="P30" i="2"/>
  <c r="O30" i="2"/>
  <c r="S30" i="2"/>
  <c r="K31" i="2"/>
  <c r="P31" i="2"/>
  <c r="N31" i="2" s="1"/>
  <c r="M31" i="2" s="1"/>
  <c r="O31" i="2"/>
  <c r="S31" i="2"/>
  <c r="K32" i="2"/>
  <c r="L32" i="2"/>
  <c r="P32" i="2"/>
  <c r="O32" i="2"/>
  <c r="S32" i="2"/>
  <c r="P33" i="2"/>
  <c r="O33" i="2"/>
  <c r="S33" i="2"/>
  <c r="P34" i="2"/>
  <c r="O34" i="2"/>
  <c r="S34" i="2"/>
  <c r="L35" i="2"/>
  <c r="P35" i="2"/>
  <c r="O35" i="2"/>
  <c r="S35" i="2"/>
  <c r="L36" i="2"/>
  <c r="P36" i="2"/>
  <c r="O36" i="2"/>
  <c r="S36" i="2"/>
  <c r="P37" i="2"/>
  <c r="N37" i="2" s="1"/>
  <c r="M37" i="2" s="1"/>
  <c r="O37" i="2"/>
  <c r="S37" i="2"/>
  <c r="L38" i="2"/>
  <c r="P38" i="2"/>
  <c r="O38" i="2"/>
  <c r="S38" i="2"/>
  <c r="K39" i="2"/>
  <c r="P39" i="2"/>
  <c r="O39" i="2"/>
  <c r="S39" i="2"/>
  <c r="K40" i="2"/>
  <c r="P40" i="2"/>
  <c r="N40" i="2" s="1"/>
  <c r="M40" i="2" s="1"/>
  <c r="O40" i="2"/>
  <c r="S40" i="2"/>
  <c r="K41" i="2"/>
  <c r="L41" i="2"/>
  <c r="P41" i="2"/>
  <c r="O41" i="2"/>
  <c r="S41" i="2"/>
  <c r="K42" i="2"/>
  <c r="L42" i="2"/>
  <c r="P42" i="2"/>
  <c r="N42" i="2" s="1"/>
  <c r="M42" i="2" s="1"/>
  <c r="O42" i="2"/>
  <c r="S42" i="2"/>
  <c r="K43" i="2"/>
  <c r="P43" i="2"/>
  <c r="O43" i="2"/>
  <c r="S43" i="2"/>
  <c r="K44" i="2"/>
  <c r="L44" i="2"/>
  <c r="P44" i="2"/>
  <c r="O44" i="2"/>
  <c r="S44" i="2"/>
  <c r="P45" i="2"/>
  <c r="O45" i="2"/>
  <c r="S45" i="2"/>
  <c r="P46" i="2"/>
  <c r="O46" i="2"/>
  <c r="S46" i="2"/>
  <c r="L47" i="2"/>
  <c r="P47" i="2"/>
  <c r="N47" i="2" s="1"/>
  <c r="M47" i="2" s="1"/>
  <c r="O47" i="2"/>
  <c r="S47" i="2"/>
  <c r="L48" i="2"/>
  <c r="P48" i="2"/>
  <c r="N48" i="2" s="1"/>
  <c r="M48" i="2" s="1"/>
  <c r="O48" i="2"/>
  <c r="S48" i="2"/>
  <c r="P49" i="2"/>
  <c r="N49" i="2"/>
  <c r="M49" i="2" s="1"/>
  <c r="O49" i="2"/>
  <c r="S49" i="2"/>
  <c r="L50" i="2"/>
  <c r="P50" i="2"/>
  <c r="O50" i="2"/>
  <c r="S50" i="2"/>
  <c r="K51" i="2"/>
  <c r="P51" i="2"/>
  <c r="N51" i="2" s="1"/>
  <c r="M51" i="2" s="1"/>
  <c r="O51" i="2"/>
  <c r="S51" i="2"/>
  <c r="K52" i="2"/>
  <c r="P52" i="2"/>
  <c r="N52" i="2" s="1"/>
  <c r="M52" i="2" s="1"/>
  <c r="O52" i="2"/>
  <c r="S52" i="2"/>
  <c r="K53" i="2"/>
  <c r="L53" i="2"/>
  <c r="P53" i="2"/>
  <c r="O53" i="2"/>
  <c r="S53" i="2"/>
  <c r="K54" i="2"/>
  <c r="L54" i="2"/>
  <c r="P54" i="2"/>
  <c r="O54" i="2"/>
  <c r="S54" i="2"/>
  <c r="K55" i="2"/>
  <c r="P55" i="2"/>
  <c r="O55" i="2"/>
  <c r="S55" i="2"/>
  <c r="K56" i="2"/>
  <c r="L56" i="2"/>
  <c r="P56" i="2"/>
  <c r="N56" i="2" s="1"/>
  <c r="M56" i="2" s="1"/>
  <c r="O56" i="2"/>
  <c r="S56" i="2"/>
  <c r="K57" i="2"/>
  <c r="P57" i="2"/>
  <c r="O57" i="2"/>
  <c r="S57" i="2"/>
  <c r="K58" i="2"/>
  <c r="L58" i="2"/>
  <c r="P58" i="2"/>
  <c r="O58" i="2"/>
  <c r="S58" i="2"/>
  <c r="K59" i="2"/>
  <c r="L59" i="2"/>
  <c r="P59" i="2"/>
  <c r="O59" i="2"/>
  <c r="S59" i="2"/>
  <c r="K60" i="2"/>
  <c r="P60" i="2"/>
  <c r="O60" i="2"/>
  <c r="S60" i="2"/>
  <c r="K61" i="2"/>
  <c r="L61" i="2"/>
  <c r="P61" i="2"/>
  <c r="N61" i="2"/>
  <c r="M61" i="2" s="1"/>
  <c r="O61" i="2"/>
  <c r="S61" i="2"/>
  <c r="L62" i="2"/>
  <c r="P62" i="2"/>
  <c r="O62" i="2"/>
  <c r="S62" i="2"/>
  <c r="L63" i="2"/>
  <c r="P63" i="2"/>
  <c r="O63" i="2"/>
  <c r="S63" i="2"/>
  <c r="P64" i="2"/>
  <c r="O64" i="2"/>
  <c r="N64" i="2" s="1"/>
  <c r="M64" i="2" s="1"/>
  <c r="S64" i="2"/>
  <c r="L65" i="2"/>
  <c r="P65" i="2"/>
  <c r="O65" i="2"/>
  <c r="N65" i="2" s="1"/>
  <c r="M65" i="2" s="1"/>
  <c r="S65" i="2"/>
  <c r="K66" i="2"/>
  <c r="L66" i="2"/>
  <c r="P66" i="2"/>
  <c r="O66" i="2"/>
  <c r="S66" i="2"/>
  <c r="K67" i="2"/>
  <c r="P67" i="2"/>
  <c r="N67" i="2" s="1"/>
  <c r="M67" i="2" s="1"/>
  <c r="O67" i="2"/>
  <c r="S67" i="2"/>
  <c r="K68" i="2"/>
  <c r="L68" i="2"/>
  <c r="P68" i="2"/>
  <c r="O68" i="2"/>
  <c r="S68" i="2"/>
  <c r="K69" i="2"/>
  <c r="L69" i="2"/>
  <c r="P69" i="2"/>
  <c r="O69" i="2"/>
  <c r="S69" i="2"/>
  <c r="P70" i="2"/>
  <c r="O70" i="2"/>
  <c r="S70" i="2"/>
  <c r="P71" i="2"/>
  <c r="N71" i="2" s="1"/>
  <c r="M71" i="2" s="1"/>
  <c r="O71" i="2"/>
  <c r="S71" i="2"/>
  <c r="K72" i="2"/>
  <c r="P72" i="2"/>
  <c r="O72" i="2"/>
  <c r="S72" i="2"/>
  <c r="K73" i="2"/>
  <c r="P73" i="2"/>
  <c r="O73" i="2"/>
  <c r="S73" i="2"/>
  <c r="P74" i="2"/>
  <c r="O74" i="2"/>
  <c r="S74" i="2"/>
  <c r="K75" i="2"/>
  <c r="P75" i="2"/>
  <c r="N75" i="2" s="1"/>
  <c r="M75" i="2" s="1"/>
  <c r="O75" i="2"/>
  <c r="S75" i="2"/>
  <c r="P76" i="2"/>
  <c r="N76" i="2"/>
  <c r="M76" i="2" s="1"/>
  <c r="O76" i="2"/>
  <c r="S76" i="2"/>
  <c r="P77" i="2"/>
  <c r="O77" i="2"/>
  <c r="N77" i="2" s="1"/>
  <c r="M77" i="2" s="1"/>
  <c r="S77" i="2"/>
  <c r="K78" i="2"/>
  <c r="P78" i="2"/>
  <c r="O78" i="2"/>
  <c r="S78" i="2"/>
  <c r="K79" i="2"/>
  <c r="L79" i="2"/>
  <c r="P79" i="2"/>
  <c r="N79" i="2" s="1"/>
  <c r="M79" i="2" s="1"/>
  <c r="O79" i="2"/>
  <c r="S79" i="2"/>
  <c r="P80" i="2"/>
  <c r="O80" i="2"/>
  <c r="S80" i="2"/>
  <c r="K81" i="2"/>
  <c r="P81" i="2"/>
  <c r="O81" i="2"/>
  <c r="S81" i="2"/>
  <c r="K83" i="2"/>
  <c r="P83" i="2"/>
  <c r="O83" i="2"/>
  <c r="R83" i="2"/>
  <c r="R84" i="2" s="1"/>
  <c r="R85" i="2" s="1"/>
  <c r="R86" i="2" s="1"/>
  <c r="S83" i="2"/>
  <c r="K84" i="2"/>
  <c r="P84" i="2"/>
  <c r="O84" i="2"/>
  <c r="S84" i="2"/>
  <c r="K85" i="2"/>
  <c r="P85" i="2"/>
  <c r="N85" i="2" s="1"/>
  <c r="M85" i="2" s="1"/>
  <c r="O85" i="2"/>
  <c r="S85" i="2"/>
  <c r="K86" i="2"/>
  <c r="P86" i="2"/>
  <c r="N86" i="2" s="1"/>
  <c r="M86" i="2" s="1"/>
  <c r="O86" i="2"/>
  <c r="S86" i="2"/>
  <c r="C5" i="1"/>
  <c r="D5" i="1"/>
  <c r="E5" i="1"/>
  <c r="F5" i="1"/>
  <c r="C6" i="1"/>
  <c r="D6" i="1"/>
  <c r="E6" i="1"/>
  <c r="F6" i="1"/>
  <c r="C7" i="1"/>
  <c r="D7" i="1"/>
  <c r="E7" i="1"/>
  <c r="F7" i="1"/>
  <c r="C8" i="1"/>
  <c r="D8" i="1"/>
  <c r="E8" i="1"/>
  <c r="F8" i="1"/>
  <c r="C9" i="1"/>
  <c r="D9" i="1"/>
  <c r="E9" i="1"/>
  <c r="F9" i="1"/>
  <c r="C10" i="1"/>
  <c r="D10" i="1"/>
  <c r="E10" i="1"/>
  <c r="F10" i="1"/>
  <c r="C11" i="1"/>
  <c r="D11" i="1"/>
  <c r="E11" i="1"/>
  <c r="F11" i="1"/>
  <c r="C12" i="1"/>
  <c r="D12" i="1"/>
  <c r="E12" i="1"/>
  <c r="F12" i="1"/>
  <c r="C13" i="1"/>
  <c r="D13" i="1"/>
  <c r="E13" i="1"/>
  <c r="F13" i="1"/>
  <c r="C14" i="1"/>
  <c r="D14" i="1"/>
  <c r="E14" i="1"/>
  <c r="F14" i="1"/>
  <c r="C15" i="1"/>
  <c r="D15" i="1"/>
  <c r="E15" i="1"/>
  <c r="F15" i="1"/>
  <c r="C16" i="1"/>
  <c r="D16" i="1"/>
  <c r="E16" i="1"/>
  <c r="F16" i="1"/>
  <c r="C17" i="1"/>
  <c r="D17" i="1"/>
  <c r="E17" i="1"/>
  <c r="F17" i="1"/>
  <c r="C18" i="1"/>
  <c r="D18" i="1"/>
  <c r="E18" i="1"/>
  <c r="F18" i="1"/>
  <c r="C19" i="1"/>
  <c r="D19" i="1"/>
  <c r="E19" i="1"/>
  <c r="F19" i="1"/>
  <c r="C20" i="1"/>
  <c r="D20" i="1"/>
  <c r="E20" i="1"/>
  <c r="F20" i="1"/>
  <c r="C21" i="1"/>
  <c r="D21" i="1"/>
  <c r="E21" i="1"/>
  <c r="F21" i="1"/>
  <c r="C22" i="1"/>
  <c r="D22" i="1"/>
  <c r="E22" i="1"/>
  <c r="F22" i="1"/>
  <c r="C23" i="1"/>
  <c r="D23" i="1"/>
  <c r="E23" i="1"/>
  <c r="F23" i="1"/>
  <c r="C24" i="1"/>
  <c r="D24" i="1"/>
  <c r="E24" i="1"/>
  <c r="F24" i="1"/>
  <c r="C25" i="1"/>
  <c r="D25" i="1"/>
  <c r="E25" i="1"/>
  <c r="F25" i="1"/>
  <c r="C26" i="1"/>
  <c r="D26" i="1"/>
  <c r="E26" i="1"/>
  <c r="F26" i="1"/>
  <c r="C27" i="1"/>
  <c r="D27" i="1"/>
  <c r="E27" i="1"/>
  <c r="F27" i="1"/>
  <c r="AA30" i="19"/>
  <c r="Y30" i="19"/>
  <c r="W30" i="19"/>
  <c r="U30" i="19"/>
  <c r="S30" i="19"/>
  <c r="Q30" i="19"/>
  <c r="O30" i="19"/>
  <c r="M30" i="19"/>
  <c r="K30" i="19"/>
  <c r="I30" i="19"/>
  <c r="G30" i="19"/>
  <c r="AA28" i="19"/>
  <c r="Y28" i="19"/>
  <c r="W28" i="19"/>
  <c r="U28" i="19"/>
  <c r="S28" i="19"/>
  <c r="Q28" i="19"/>
  <c r="O28" i="19"/>
  <c r="M28" i="19"/>
  <c r="K28" i="19"/>
  <c r="I28" i="19"/>
  <c r="G28" i="19"/>
  <c r="AA26" i="19"/>
  <c r="Y26" i="19"/>
  <c r="W26" i="19"/>
  <c r="U26" i="19"/>
  <c r="S26" i="19"/>
  <c r="Q26" i="19"/>
  <c r="O26" i="19"/>
  <c r="M26" i="19"/>
  <c r="K26" i="19"/>
  <c r="I26" i="19"/>
  <c r="G26" i="19"/>
  <c r="AA24" i="19"/>
  <c r="Y24" i="19"/>
  <c r="W24" i="19"/>
  <c r="U24" i="19"/>
  <c r="S24" i="19"/>
  <c r="Q24" i="19"/>
  <c r="O24" i="19"/>
  <c r="M24" i="19"/>
  <c r="K24" i="19"/>
  <c r="I24" i="19"/>
  <c r="G24" i="19"/>
  <c r="AA22" i="19"/>
  <c r="Y22" i="19"/>
  <c r="W22" i="19"/>
  <c r="U22" i="19"/>
  <c r="S22" i="19"/>
  <c r="Q22" i="19"/>
  <c r="O22" i="19"/>
  <c r="M22" i="19"/>
  <c r="K22" i="19"/>
  <c r="I22" i="19"/>
  <c r="G22" i="19"/>
  <c r="AA20" i="19"/>
  <c r="Y20" i="19"/>
  <c r="W20" i="19"/>
  <c r="U20" i="19"/>
  <c r="S20" i="19"/>
  <c r="Q20" i="19"/>
  <c r="O20" i="19"/>
  <c r="M20" i="19"/>
  <c r="K20" i="19"/>
  <c r="I20" i="19"/>
  <c r="G20" i="19"/>
  <c r="AA18" i="19"/>
  <c r="Y18" i="19"/>
  <c r="W18" i="19"/>
  <c r="U18" i="19"/>
  <c r="S18" i="19"/>
  <c r="Q18" i="19"/>
  <c r="O18" i="19"/>
  <c r="M18" i="19"/>
  <c r="K18" i="19"/>
  <c r="I18" i="19"/>
  <c r="G18" i="19"/>
  <c r="AA16" i="19"/>
  <c r="Y16" i="19"/>
  <c r="W16" i="19"/>
  <c r="U16" i="19"/>
  <c r="S16" i="19"/>
  <c r="Q16" i="19"/>
  <c r="O16" i="19"/>
  <c r="M16" i="19"/>
  <c r="K16" i="19"/>
  <c r="I16" i="19"/>
  <c r="G16" i="19"/>
  <c r="AA14" i="19"/>
  <c r="Y14" i="19"/>
  <c r="W14" i="19"/>
  <c r="U14" i="19"/>
  <c r="S14" i="19"/>
  <c r="Q14" i="19"/>
  <c r="O14" i="19"/>
  <c r="M14" i="19"/>
  <c r="K14" i="19"/>
  <c r="I14" i="19"/>
  <c r="G14" i="19"/>
  <c r="AA12" i="19"/>
  <c r="Y12" i="19"/>
  <c r="W12" i="19"/>
  <c r="U12" i="19"/>
  <c r="S12" i="19"/>
  <c r="Q12" i="19"/>
  <c r="O12" i="19"/>
  <c r="M12" i="19"/>
  <c r="K12" i="19"/>
  <c r="I12" i="19"/>
  <c r="G12" i="19"/>
  <c r="AA10" i="19"/>
  <c r="Y10" i="19"/>
  <c r="W10" i="19"/>
  <c r="U10" i="19"/>
  <c r="S10" i="19"/>
  <c r="Q10" i="19"/>
  <c r="O10" i="19"/>
  <c r="M10" i="19"/>
  <c r="K10" i="19"/>
  <c r="I10" i="19"/>
  <c r="G10" i="19"/>
  <c r="AA8" i="19"/>
  <c r="Y8" i="19"/>
  <c r="W8" i="19"/>
  <c r="U8" i="19"/>
  <c r="S8" i="19"/>
  <c r="Q8" i="19"/>
  <c r="O8" i="19"/>
  <c r="M8" i="19"/>
  <c r="K8" i="19"/>
  <c r="I8" i="19"/>
  <c r="G8" i="19"/>
  <c r="N84" i="2"/>
  <c r="M84" i="2" s="1"/>
  <c r="N69" i="2"/>
  <c r="M69" i="2" s="1"/>
  <c r="N63" i="2"/>
  <c r="M63" i="2" s="1"/>
  <c r="N60" i="2"/>
  <c r="M60" i="2" s="1"/>
  <c r="N53" i="2"/>
  <c r="M53" i="2" s="1"/>
  <c r="N46" i="2"/>
  <c r="M46" i="2" s="1"/>
  <c r="N39" i="2"/>
  <c r="M39" i="2" s="1"/>
  <c r="N34" i="2"/>
  <c r="M34" i="2" s="1"/>
  <c r="N28" i="2"/>
  <c r="M28" i="2" s="1"/>
  <c r="N21" i="2"/>
  <c r="M21" i="2" s="1"/>
  <c r="F30" i="19"/>
  <c r="V29" i="19"/>
  <c r="N29" i="19"/>
  <c r="F29" i="19"/>
  <c r="R28" i="19"/>
  <c r="L27" i="19"/>
  <c r="S25" i="19"/>
  <c r="I25" i="19"/>
  <c r="P24" i="19"/>
  <c r="P22" i="19"/>
  <c r="L21" i="19"/>
  <c r="L20" i="19"/>
  <c r="R19" i="19"/>
  <c r="AA17" i="19"/>
  <c r="Q17" i="19"/>
  <c r="L16" i="19"/>
  <c r="K77" i="2"/>
  <c r="F14" i="19"/>
  <c r="V13" i="19"/>
  <c r="L81" i="2" s="1"/>
  <c r="N13" i="19"/>
  <c r="F13" i="19"/>
  <c r="R12" i="19"/>
  <c r="L11" i="19"/>
  <c r="T8" i="19"/>
  <c r="H30" i="19"/>
  <c r="W29" i="19"/>
  <c r="O29" i="19"/>
  <c r="G29" i="19"/>
  <c r="R24" i="19"/>
  <c r="R22" i="19"/>
  <c r="S21" i="19"/>
  <c r="N20" i="19"/>
  <c r="H14" i="19"/>
  <c r="G13" i="19"/>
  <c r="N17" i="2"/>
  <c r="M17" i="2" s="1"/>
  <c r="J30" i="19"/>
  <c r="X29" i="19"/>
  <c r="P29" i="19"/>
  <c r="H29" i="19"/>
  <c r="V28" i="19"/>
  <c r="E28" i="19"/>
  <c r="O27" i="19"/>
  <c r="R26" i="19"/>
  <c r="U25" i="19"/>
  <c r="L25" i="19"/>
  <c r="T21" i="19"/>
  <c r="P20" i="19"/>
  <c r="T19" i="19"/>
  <c r="S17" i="19"/>
  <c r="G17" i="19"/>
  <c r="P16" i="19"/>
  <c r="H15" i="19"/>
  <c r="J14" i="19"/>
  <c r="X13" i="19"/>
  <c r="P13" i="19"/>
  <c r="H13" i="19"/>
  <c r="V12" i="19"/>
  <c r="L80" i="2" s="1"/>
  <c r="E12" i="19"/>
  <c r="O11" i="19"/>
  <c r="L85" i="2"/>
  <c r="R10" i="19"/>
  <c r="N78" i="2"/>
  <c r="M78" i="2" s="1"/>
  <c r="N73" i="2"/>
  <c r="M73" i="2" s="1"/>
  <c r="N62" i="2"/>
  <c r="M62" i="2" s="1"/>
  <c r="N59" i="2"/>
  <c r="M59" i="2" s="1"/>
  <c r="N55" i="2"/>
  <c r="M55" i="2" s="1"/>
  <c r="N38" i="2"/>
  <c r="M38" i="2" s="1"/>
  <c r="N33" i="2"/>
  <c r="M33" i="2" s="1"/>
  <c r="N23" i="2"/>
  <c r="M23" i="2" s="1"/>
  <c r="N11" i="2"/>
  <c r="M11" i="2" s="1"/>
  <c r="R30" i="19"/>
  <c r="Y29" i="19"/>
  <c r="Q29" i="19"/>
  <c r="I29" i="19"/>
  <c r="X28" i="19"/>
  <c r="F28" i="19"/>
  <c r="U21" i="19"/>
  <c r="R20" i="19"/>
  <c r="T17" i="19"/>
  <c r="I17" i="19"/>
  <c r="R14" i="19"/>
  <c r="Q13" i="19"/>
  <c r="I13" i="19"/>
  <c r="F12" i="19"/>
  <c r="N30" i="2"/>
  <c r="M30" i="2" s="1"/>
  <c r="N26" i="2"/>
  <c r="M26" i="2" s="1"/>
  <c r="N13" i="2"/>
  <c r="M13" i="2" s="1"/>
  <c r="V30" i="19"/>
  <c r="Z29" i="19"/>
  <c r="R29" i="19"/>
  <c r="J29" i="19"/>
  <c r="Z28" i="19"/>
  <c r="H28" i="19"/>
  <c r="W25" i="19"/>
  <c r="N25" i="19"/>
  <c r="E25" i="19"/>
  <c r="L23" i="19"/>
  <c r="AA21" i="19"/>
  <c r="X20" i="19"/>
  <c r="U17" i="19"/>
  <c r="J17" i="19"/>
  <c r="T16" i="19"/>
  <c r="E16" i="19"/>
  <c r="V14" i="19"/>
  <c r="Z13" i="19"/>
  <c r="R13" i="19"/>
  <c r="J13" i="19"/>
  <c r="H12" i="19"/>
  <c r="N58" i="2"/>
  <c r="M58" i="2"/>
  <c r="N44" i="2"/>
  <c r="M44" i="2"/>
  <c r="N35" i="2"/>
  <c r="M35" i="2"/>
  <c r="N22" i="2"/>
  <c r="M22" i="2"/>
  <c r="N19" i="2"/>
  <c r="M19" i="2"/>
  <c r="N5" i="2"/>
  <c r="M5" i="2"/>
  <c r="X30" i="19"/>
  <c r="AA29" i="19"/>
  <c r="S29" i="19"/>
  <c r="K29" i="19"/>
  <c r="J28" i="19"/>
  <c r="V27" i="19"/>
  <c r="F27" i="19"/>
  <c r="X25" i="19"/>
  <c r="O25" i="19"/>
  <c r="F25" i="19"/>
  <c r="T23" i="19"/>
  <c r="J19" i="19"/>
  <c r="W17" i="19"/>
  <c r="K17" i="19"/>
  <c r="V16" i="19"/>
  <c r="X14" i="19"/>
  <c r="AA13" i="19"/>
  <c r="S13" i="19"/>
  <c r="K13" i="19"/>
  <c r="J12" i="19"/>
  <c r="N74" i="2"/>
  <c r="M74" i="2"/>
  <c r="N66" i="2"/>
  <c r="M66" i="2"/>
  <c r="N57" i="2"/>
  <c r="M57" i="2"/>
  <c r="N50" i="2"/>
  <c r="M50" i="2"/>
  <c r="N43" i="2"/>
  <c r="M43" i="2"/>
  <c r="N32" i="2"/>
  <c r="M32" i="2"/>
  <c r="N25" i="2"/>
  <c r="M25" i="2"/>
  <c r="N15" i="2"/>
  <c r="M15" i="2"/>
  <c r="U29" i="19"/>
  <c r="M29" i="19"/>
  <c r="N22" i="19"/>
  <c r="K21" i="19"/>
  <c r="P30" i="19"/>
  <c r="AA27" i="19"/>
  <c r="S27" i="19"/>
  <c r="K27" i="19"/>
  <c r="L26" i="19"/>
  <c r="Z25" i="19"/>
  <c r="R25" i="19"/>
  <c r="Z24" i="19"/>
  <c r="J24" i="19"/>
  <c r="Y23" i="19"/>
  <c r="Q23" i="19"/>
  <c r="I23" i="19"/>
  <c r="X22" i="19"/>
  <c r="H22" i="19"/>
  <c r="X21" i="19"/>
  <c r="P21" i="19"/>
  <c r="H21" i="19"/>
  <c r="V20" i="19"/>
  <c r="F20" i="19"/>
  <c r="W19" i="19"/>
  <c r="O19" i="19"/>
  <c r="G19" i="19"/>
  <c r="T18" i="19"/>
  <c r="E18" i="19"/>
  <c r="V17" i="19"/>
  <c r="N17" i="19"/>
  <c r="F17" i="19"/>
  <c r="U15" i="19"/>
  <c r="M15" i="19"/>
  <c r="E15" i="19"/>
  <c r="P14" i="19"/>
  <c r="AA11" i="19"/>
  <c r="S11" i="19"/>
  <c r="K11" i="19"/>
  <c r="L10" i="19"/>
  <c r="R9" i="19"/>
  <c r="Z8" i="19"/>
  <c r="J8" i="19"/>
  <c r="N26" i="19"/>
  <c r="L24" i="19"/>
  <c r="Z23" i="19"/>
  <c r="R23" i="19"/>
  <c r="J23" i="19"/>
  <c r="Z22" i="19"/>
  <c r="J22" i="19"/>
  <c r="Y21" i="19"/>
  <c r="Q21" i="19"/>
  <c r="I21" i="19"/>
  <c r="X19" i="19"/>
  <c r="P19" i="19"/>
  <c r="H19" i="19"/>
  <c r="N10" i="19"/>
  <c r="L8" i="19"/>
  <c r="T30" i="19"/>
  <c r="E30" i="19"/>
  <c r="U27" i="19"/>
  <c r="M27" i="19"/>
  <c r="E27" i="19"/>
  <c r="P26" i="19"/>
  <c r="N24" i="19"/>
  <c r="AA23" i="19"/>
  <c r="S23" i="19"/>
  <c r="K23" i="19"/>
  <c r="L22" i="19"/>
  <c r="Z21" i="19"/>
  <c r="R21" i="19"/>
  <c r="J21" i="19"/>
  <c r="Z20" i="19"/>
  <c r="J20" i="19"/>
  <c r="Y19" i="19"/>
  <c r="Q19" i="19"/>
  <c r="I19" i="19"/>
  <c r="X18" i="19"/>
  <c r="X17" i="19"/>
  <c r="P17" i="19"/>
  <c r="H17" i="19"/>
  <c r="W15" i="19"/>
  <c r="O15" i="19"/>
  <c r="T14" i="19"/>
  <c r="E14" i="19"/>
  <c r="U11" i="19"/>
  <c r="M11" i="19"/>
  <c r="E11" i="19"/>
  <c r="P10" i="19"/>
  <c r="N8" i="19"/>
  <c r="T26" i="19"/>
  <c r="E26" i="19"/>
  <c r="U23" i="19"/>
  <c r="M23" i="19"/>
  <c r="E23" i="19"/>
  <c r="T10" i="19"/>
  <c r="E10" i="19"/>
  <c r="V26" i="19"/>
  <c r="F26" i="19"/>
  <c r="T24" i="19"/>
  <c r="E24" i="19"/>
  <c r="V23" i="19"/>
  <c r="N23" i="19"/>
  <c r="F23" i="19"/>
  <c r="M21" i="19"/>
  <c r="E21" i="19"/>
  <c r="V10" i="19"/>
  <c r="F10" i="19"/>
  <c r="E8" i="19"/>
  <c r="L30" i="19"/>
  <c r="Y27" i="19"/>
  <c r="Q27" i="19"/>
  <c r="I27" i="19"/>
  <c r="X26" i="19"/>
  <c r="H26" i="19"/>
  <c r="V24" i="19"/>
  <c r="F24" i="19"/>
  <c r="W23" i="19"/>
  <c r="O23" i="19"/>
  <c r="G23" i="19"/>
  <c r="T22" i="19"/>
  <c r="E22" i="19"/>
  <c r="V21" i="19"/>
  <c r="N21" i="19"/>
  <c r="F21" i="19"/>
  <c r="U19" i="19"/>
  <c r="M19" i="19"/>
  <c r="E19" i="19"/>
  <c r="L14" i="19"/>
  <c r="Y11" i="19"/>
  <c r="Q11" i="19"/>
  <c r="I11" i="19"/>
  <c r="X10" i="19"/>
  <c r="H10" i="19"/>
  <c r="V8" i="19"/>
  <c r="F8" i="19"/>
  <c r="Z27" i="19"/>
  <c r="R27" i="19"/>
  <c r="Z26" i="19"/>
  <c r="X24" i="19"/>
  <c r="X23" i="19"/>
  <c r="P23" i="19"/>
  <c r="V22" i="19"/>
  <c r="W21" i="19"/>
  <c r="O21" i="19"/>
  <c r="T20" i="19"/>
  <c r="V19" i="19"/>
  <c r="N19" i="19"/>
  <c r="M17" i="19"/>
  <c r="Z11" i="19"/>
  <c r="R11" i="19"/>
  <c r="Z10" i="19"/>
  <c r="X8" i="19"/>
  <c r="K17" i="2"/>
  <c r="L28" i="2"/>
  <c r="L34" i="2"/>
  <c r="L46" i="2"/>
  <c r="L84" i="2"/>
  <c r="L7" i="2"/>
  <c r="K21" i="2"/>
  <c r="K46" i="2"/>
  <c r="L57" i="2"/>
  <c r="K18" i="2"/>
  <c r="L40" i="2"/>
  <c r="K50" i="2"/>
  <c r="L10" i="2"/>
  <c r="K15" i="2"/>
  <c r="K47" i="2"/>
  <c r="K19" i="2"/>
  <c r="L86" i="2"/>
  <c r="K16" i="2"/>
  <c r="L23" i="2"/>
  <c r="K48" i="2"/>
  <c r="K20" i="2"/>
  <c r="K45" i="2"/>
  <c r="L52" i="2"/>
  <c r="L83" i="2"/>
  <c r="L17" i="2"/>
  <c r="K49" i="2"/>
  <c r="K71" i="2"/>
  <c r="K76" i="2"/>
  <c r="K70" i="2"/>
  <c r="L6" i="2"/>
  <c r="L9" i="2"/>
  <c r="L16" i="2"/>
  <c r="L22" i="2"/>
  <c r="L33" i="2"/>
  <c r="L39" i="2"/>
  <c r="L45" i="2"/>
  <c r="L51" i="2"/>
  <c r="K8" i="2"/>
  <c r="K9" i="2"/>
  <c r="K10" i="2"/>
  <c r="K11" i="2"/>
  <c r="K12" i="2"/>
  <c r="K13" i="2"/>
  <c r="K14" i="2"/>
  <c r="K65" i="2"/>
  <c r="K74" i="2"/>
  <c r="L13" i="2"/>
  <c r="L20" i="2"/>
  <c r="L26" i="2"/>
  <c r="L31" i="2"/>
  <c r="L37" i="2"/>
  <c r="L43" i="2"/>
  <c r="L49" i="2"/>
  <c r="L55" i="2"/>
  <c r="L60" i="2"/>
  <c r="L64" i="2"/>
  <c r="L67" i="2"/>
  <c r="K80" i="2"/>
  <c r="K33" i="2"/>
  <c r="K34" i="2"/>
  <c r="K35" i="2"/>
  <c r="K36" i="2"/>
  <c r="K37" i="2"/>
  <c r="K38" i="2"/>
  <c r="K62" i="2"/>
  <c r="K63" i="2"/>
  <c r="K64" i="2"/>
  <c r="L72" i="2"/>
  <c r="L70" i="2"/>
  <c r="L73" i="2"/>
  <c r="L74" i="2"/>
  <c r="L75" i="2"/>
  <c r="L76" i="2"/>
  <c r="L77" i="2"/>
  <c r="L71" i="2"/>
  <c r="L78" i="2"/>
  <c r="H20" i="19" l="1"/>
  <c r="Z18" i="19"/>
  <c r="R18" i="19"/>
  <c r="N18" i="19"/>
  <c r="J18" i="19"/>
  <c r="Y17" i="19"/>
  <c r="O17" i="19"/>
  <c r="AA15" i="19"/>
  <c r="Y15" i="19"/>
  <c r="V15" i="19"/>
  <c r="S15" i="19"/>
  <c r="Q15" i="19"/>
  <c r="N15" i="19"/>
  <c r="K15" i="19"/>
  <c r="I15" i="19"/>
  <c r="W13" i="19"/>
  <c r="T13" i="19"/>
  <c r="M13" i="19"/>
  <c r="P12" i="19"/>
  <c r="N83" i="2"/>
  <c r="M83" i="2" s="1"/>
  <c r="N81" i="2"/>
  <c r="M81" i="2" s="1"/>
  <c r="N80" i="2"/>
  <c r="M80" i="2" s="1"/>
  <c r="N72" i="2"/>
  <c r="M72" i="2" s="1"/>
  <c r="N70" i="2"/>
  <c r="M70" i="2" s="1"/>
  <c r="N68" i="2"/>
  <c r="M68" i="2" s="1"/>
  <c r="N54" i="2"/>
  <c r="M54" i="2" s="1"/>
  <c r="N45" i="2"/>
  <c r="M45" i="2" s="1"/>
  <c r="N41" i="2"/>
  <c r="M41" i="2" s="1"/>
  <c r="N36" i="2"/>
  <c r="M36" i="2" s="1"/>
  <c r="N29" i="2"/>
  <c r="M29" i="2" s="1"/>
  <c r="N27" i="2"/>
  <c r="M27" i="2" s="1"/>
  <c r="N24" i="2"/>
  <c r="M24" i="2" s="1"/>
  <c r="N20" i="2"/>
  <c r="M20" i="2" s="1"/>
  <c r="N18" i="2"/>
  <c r="M18" i="2" s="1"/>
  <c r="N14" i="2"/>
  <c r="M14" i="2" s="1"/>
  <c r="N10" i="2"/>
  <c r="M10" i="2" s="1"/>
  <c r="N8" i="2"/>
  <c r="M8" i="2" s="1"/>
  <c r="T29" i="19"/>
  <c r="P28" i="19"/>
  <c r="W27" i="19"/>
  <c r="P27" i="19"/>
  <c r="H27" i="19"/>
  <c r="AA25" i="19"/>
  <c r="V25" i="19"/>
  <c r="Q25" i="19"/>
  <c r="M25" i="19"/>
  <c r="H25" i="19"/>
  <c r="Z19" i="19"/>
  <c r="L19" i="19"/>
  <c r="Z16" i="19"/>
  <c r="R16" i="19"/>
  <c r="J16" i="19"/>
  <c r="K9" i="19"/>
  <c r="H9" i="19"/>
  <c r="F9" i="19"/>
</calcChain>
</file>

<file path=xl/comments1.xml><?xml version="1.0" encoding="utf-8"?>
<comments xmlns="http://schemas.openxmlformats.org/spreadsheetml/2006/main">
  <authors>
    <author>ATADEVRİM</author>
  </authors>
  <commentList>
    <comment ref="B1" authorId="0" shapeId="0">
      <text>
        <r>
          <rPr>
            <b/>
            <sz val="8"/>
            <color indexed="81"/>
            <rFont val="Tahoma"/>
            <family val="2"/>
            <charset val="162"/>
          </rPr>
          <t>ATADEVRİM:</t>
        </r>
        <r>
          <rPr>
            <sz val="8"/>
            <color indexed="81"/>
            <rFont val="Tahoma"/>
            <family val="2"/>
            <charset val="162"/>
          </rPr>
          <t xml:space="preserve">
BOYUTLARI DEĞİŞTİREREK İHTİYACINIZ OLAN ÖLÇÜLERİN YENİ DEĞERLERİNİ GÖRMEK İÇİN, BİR SATIRI EN ALTA KOPYALAYARAK KENDİ DEĞERLERİNİZİ GİRİNİZ.</t>
        </r>
      </text>
    </comment>
  </commentList>
</comments>
</file>

<file path=xl/sharedStrings.xml><?xml version="1.0" encoding="utf-8"?>
<sst xmlns="http://schemas.openxmlformats.org/spreadsheetml/2006/main" count="2081" uniqueCount="1256">
  <si>
    <t>G</t>
  </si>
  <si>
    <t>Kg/m</t>
  </si>
  <si>
    <t>F</t>
  </si>
  <si>
    <t>cm2</t>
  </si>
  <si>
    <t>W</t>
  </si>
  <si>
    <t>Cm3</t>
  </si>
  <si>
    <t>Cm2</t>
  </si>
  <si>
    <t>U</t>
  </si>
  <si>
    <t>Cm2/m</t>
  </si>
  <si>
    <t>Yoğunluk ( D )</t>
  </si>
  <si>
    <t>ÇAP (Ø)</t>
  </si>
  <si>
    <t>=D*(π*d²)/4</t>
  </si>
  <si>
    <t>=(π*d²)/4</t>
  </si>
  <si>
    <t>=π*d*100</t>
  </si>
  <si>
    <t>=(π*d³)/4</t>
  </si>
  <si>
    <t>BETONARME ÇELİK ÇUBUKLARIN KESİT DEĞERLERİ</t>
  </si>
  <si>
    <t>NPI</t>
  </si>
  <si>
    <t>b</t>
  </si>
  <si>
    <t>h</t>
  </si>
  <si>
    <t>t</t>
  </si>
  <si>
    <t>r1:s</t>
  </si>
  <si>
    <t>r2</t>
  </si>
  <si>
    <t>mm</t>
  </si>
  <si>
    <t>kg/m</t>
  </si>
  <si>
    <t>m2/m</t>
  </si>
  <si>
    <t>NPI PROFİLLERİ</t>
  </si>
  <si>
    <t>30x15</t>
  </si>
  <si>
    <t>40x20</t>
  </si>
  <si>
    <t>50x25</t>
  </si>
  <si>
    <t>L</t>
  </si>
  <si>
    <t>U PROFİLLERİ</t>
  </si>
  <si>
    <t>L PROFİLLERİ</t>
  </si>
  <si>
    <t>T PROFİLLERİ</t>
  </si>
  <si>
    <t xml:space="preserve">T </t>
  </si>
  <si>
    <t>Ώ</t>
  </si>
  <si>
    <t>s</t>
  </si>
  <si>
    <t>b1</t>
  </si>
  <si>
    <t>46x83</t>
  </si>
  <si>
    <t>OMEGA PROFİLLERİ</t>
  </si>
  <si>
    <t>PLATİNA (GI) PROFİLLERİ</t>
  </si>
  <si>
    <t>GI</t>
  </si>
  <si>
    <t>r1</t>
  </si>
  <si>
    <t>a</t>
  </si>
  <si>
    <t>50 x 40</t>
  </si>
  <si>
    <t>65 x 50</t>
  </si>
  <si>
    <t>80 x 65</t>
  </si>
  <si>
    <t>100 x 75</t>
  </si>
  <si>
    <t>150 x 100</t>
  </si>
  <si>
    <t>Genişlik (h mm)</t>
  </si>
  <si>
    <t>SICAK HADDELENMİŞ ÇELİK LAMALAR (Kalınlık (s) mm) Kg/Mt</t>
  </si>
  <si>
    <t>GENEL AMAÇLAR İÇİN İMAL EDİLMİŞ ÇELİK LEVHALAR (Kalınlık (s) mm) Kg/Mt</t>
  </si>
  <si>
    <t>KALINLIK</t>
  </si>
  <si>
    <t>ALÜMİNYUM</t>
  </si>
  <si>
    <t>BAKIR</t>
  </si>
  <si>
    <t>PİRİNÇ</t>
  </si>
  <si>
    <t>BRONZ</t>
  </si>
  <si>
    <t>ÇİNKO</t>
  </si>
  <si>
    <t>KURŞUN</t>
  </si>
  <si>
    <t>METAL SACLARIN AĞIRLIKLARI (Kg/m2)</t>
  </si>
  <si>
    <t>ÇELİK</t>
  </si>
  <si>
    <t>Ton/m3</t>
  </si>
  <si>
    <t>Yumuşak Toprak</t>
  </si>
  <si>
    <t>Sert Toprak</t>
  </si>
  <si>
    <t>Yumuşak Küskülük</t>
  </si>
  <si>
    <t>Sert Küskülük</t>
  </si>
  <si>
    <t>Yumuşak Kaya</t>
  </si>
  <si>
    <t>Sert Kaya</t>
  </si>
  <si>
    <t>ZEMİN CİNSLERİNİN YOĞUNLUĞU</t>
  </si>
  <si>
    <t>KAZININ ZEMİN CİNSİ</t>
  </si>
  <si>
    <t>FİGÜREDE ÖLÇÜLEN MALZEMELERİN YOĞUNLUKLARI</t>
  </si>
  <si>
    <t>MALZEMENİN CİNSİ</t>
  </si>
  <si>
    <t>Kum,Çakıl,Kırmataş</t>
  </si>
  <si>
    <t>Tuvanen, Stabilize</t>
  </si>
  <si>
    <t>Hafif Agrega</t>
  </si>
  <si>
    <t>Tutanak</t>
  </si>
  <si>
    <t>Tahkimat Moloz Taşı</t>
  </si>
  <si>
    <t>Parke, Kaba Yonu Taşı</t>
  </si>
  <si>
    <t>İnce Yonu Taşı</t>
  </si>
  <si>
    <t>Kesme Taş</t>
  </si>
  <si>
    <t>Kiremit</t>
  </si>
  <si>
    <t>Tuğla</t>
  </si>
  <si>
    <t>Delikli Tuğla</t>
  </si>
  <si>
    <t>Cephe Tuğlası</t>
  </si>
  <si>
    <t>Hafif Gaz Beton</t>
  </si>
  <si>
    <t>Mermer Tozu ve Pirinci</t>
  </si>
  <si>
    <t>Genleşmiş Perlit</t>
  </si>
  <si>
    <t>Ton/1000 ad.</t>
  </si>
  <si>
    <t>İNŞAAT VE İMALATIN BİRİMİNDEKİ MALZEME YOĞUNLUKLARI</t>
  </si>
  <si>
    <t>İNŞAAT VE İMALATIN ADI</t>
  </si>
  <si>
    <t>Kuru Duvar İnşaatta Taş</t>
  </si>
  <si>
    <t>Harçlı Kargir İnşaatta taş</t>
  </si>
  <si>
    <t>Moloz Taşla Kemer İnşaatta Taş</t>
  </si>
  <si>
    <t>Çaplanmış Moloz Taşla Kargir İnşaatta Taş</t>
  </si>
  <si>
    <t>Çaplanmış Moloz Taşla Kemer İnşaatta Taş</t>
  </si>
  <si>
    <t>Kaba ve Özel Kaba Yonu Kargir İnşaatta Taş</t>
  </si>
  <si>
    <t>İnce ve Özel Yonu Kargir İnşaatta Taş</t>
  </si>
  <si>
    <t>Kesme Kargir İnşaatta Taş</t>
  </si>
  <si>
    <t>İstifsiz Taş Dolguda Taş</t>
  </si>
  <si>
    <t>İstifli Taş Dolguda Taş</t>
  </si>
  <si>
    <t>20 cm Harçlı, Harçsız Pere m2 de Taş</t>
  </si>
  <si>
    <t>30 cm Harçlı, Harçsız Pere m2 de Taş</t>
  </si>
  <si>
    <t>40 cm Harçsız Pere m2 de Taş</t>
  </si>
  <si>
    <t>Tuğla İnşaatında Tuğla</t>
  </si>
  <si>
    <t>0.15 m. Kalınlığında Blokaj Taş</t>
  </si>
  <si>
    <t>BAŞLICA MALZEME YOĞUNLUKLARI</t>
  </si>
  <si>
    <t>YOĞUNLUK Kg/dm3</t>
  </si>
  <si>
    <t>Alçı (Toz)</t>
  </si>
  <si>
    <t>1,25-1,60</t>
  </si>
  <si>
    <t>Alkol</t>
  </si>
  <si>
    <t>Alüminyum Plaka</t>
  </si>
  <si>
    <t>2,56-2,75</t>
  </si>
  <si>
    <t>Alüminyum Dökme</t>
  </si>
  <si>
    <t>Alüminyum İşlenmiş</t>
  </si>
  <si>
    <t>Altın</t>
  </si>
  <si>
    <t>Arsenik</t>
  </si>
  <si>
    <t>Asbest</t>
  </si>
  <si>
    <t>Antrasit (Kömür)</t>
  </si>
  <si>
    <t>Antimuan</t>
  </si>
  <si>
    <t>1,106-1,506</t>
  </si>
  <si>
    <t>Asfalt</t>
  </si>
  <si>
    <t>Asfalt-Mayi</t>
  </si>
  <si>
    <t>Ateş Tuğlası</t>
  </si>
  <si>
    <t>1,8-2,2</t>
  </si>
  <si>
    <t>Baryum</t>
  </si>
  <si>
    <t>Barit</t>
  </si>
  <si>
    <t>Bakır (Dökme)</t>
  </si>
  <si>
    <t>Bakır (İşlenmiş)</t>
  </si>
  <si>
    <t>Bazalt (Kesif)</t>
  </si>
  <si>
    <t>Benzen</t>
  </si>
  <si>
    <t>Benzin</t>
  </si>
  <si>
    <t>Beton (Demirli)</t>
  </si>
  <si>
    <t>Beton (Demirsiz)</t>
  </si>
  <si>
    <t>2,25-2,40</t>
  </si>
  <si>
    <t>Bezir Yağı</t>
  </si>
  <si>
    <t>Bronz</t>
  </si>
  <si>
    <t>Boraks</t>
  </si>
  <si>
    <t>Buz</t>
  </si>
  <si>
    <t>Brom</t>
  </si>
  <si>
    <t>Cam (Pencere)</t>
  </si>
  <si>
    <t>Cam Yünü</t>
  </si>
  <si>
    <t>0,1-0,2</t>
  </si>
  <si>
    <t>Cıva</t>
  </si>
  <si>
    <t>Çimento (Torba)</t>
  </si>
  <si>
    <t>Çimento (Toz)</t>
  </si>
  <si>
    <t>Çinko</t>
  </si>
  <si>
    <t>Curuf (Kömür)</t>
  </si>
  <si>
    <t>0,7-0,9</t>
  </si>
  <si>
    <t>Çelik</t>
  </si>
  <si>
    <t>Çelik (Dökme)</t>
  </si>
  <si>
    <t>Demir (Döküm,Font)</t>
  </si>
  <si>
    <t>Demir (İşlenmiş)</t>
  </si>
  <si>
    <t>Deri</t>
  </si>
  <si>
    <t>0,9-1,0</t>
  </si>
  <si>
    <t>Elmas</t>
  </si>
  <si>
    <t>Eter</t>
  </si>
  <si>
    <t>Fosfor</t>
  </si>
  <si>
    <t>Gazyağı</t>
  </si>
  <si>
    <t>Grafit</t>
  </si>
  <si>
    <t>Gliserin</t>
  </si>
  <si>
    <t>Gümüş</t>
  </si>
  <si>
    <t>Kireç (Sönmemiş)</t>
  </si>
  <si>
    <t>Kireç (Sönmüş-Hamur)</t>
  </si>
  <si>
    <t>Karbon</t>
  </si>
  <si>
    <t>Kağıt</t>
  </si>
  <si>
    <t>0,7-1,1</t>
  </si>
  <si>
    <t>Kauçuk</t>
  </si>
  <si>
    <t>Katran</t>
  </si>
  <si>
    <t>Kalay</t>
  </si>
  <si>
    <t>Kalsiyum</t>
  </si>
  <si>
    <t>Kazı (Yumuşak Toprak)</t>
  </si>
  <si>
    <t>Kazı (Sert Toprak)</t>
  </si>
  <si>
    <t>Kazı (Sert Küskülük)</t>
  </si>
  <si>
    <t>Kazı (Yumuşak Küskülük)</t>
  </si>
  <si>
    <t>Çok Sert Kaya</t>
  </si>
  <si>
    <t>Kazı (Yumuşak Kaya)</t>
  </si>
  <si>
    <t>Kazı (Sert Kaya)</t>
  </si>
  <si>
    <t>Kazı (Çok Sert Kaya)</t>
  </si>
  <si>
    <t>Kereste (Ortalama)</t>
  </si>
  <si>
    <t>Kereste (Sert Ağaç)</t>
  </si>
  <si>
    <t>Kereste (Kavak)</t>
  </si>
  <si>
    <t>Kereste (Çam)</t>
  </si>
  <si>
    <t>Kereste (Kayın)</t>
  </si>
  <si>
    <t>Kereste (Meşe)</t>
  </si>
  <si>
    <t>Kereste (Çınar)</t>
  </si>
  <si>
    <t>Kereste (Ladin)</t>
  </si>
  <si>
    <t>Kereste (Karaçam)</t>
  </si>
  <si>
    <t>0,5-0,8</t>
  </si>
  <si>
    <t>0,6-0,9</t>
  </si>
  <si>
    <t>0,7-1,0</t>
  </si>
  <si>
    <t>0,4-0,7</t>
  </si>
  <si>
    <t>Kireç (Parça Halinde)</t>
  </si>
  <si>
    <t>Kil</t>
  </si>
  <si>
    <t>1,8-2,6</t>
  </si>
  <si>
    <t>2,5 kg/ad</t>
  </si>
  <si>
    <t>Kar (Taze)</t>
  </si>
  <si>
    <t>0,1-0,19</t>
  </si>
  <si>
    <t>Kar (Yaş ve Sıkışmış)</t>
  </si>
  <si>
    <t>1,44-2,32</t>
  </si>
  <si>
    <t>Kum, Çakıl (Sıkışmış)</t>
  </si>
  <si>
    <t>Kum, Çakıl (Gevşek)</t>
  </si>
  <si>
    <t>Kum, Çakıl (Normal)</t>
  </si>
  <si>
    <t>Tuvanen-Stabilize</t>
  </si>
  <si>
    <t>Kum Taşı</t>
  </si>
  <si>
    <t>1,9-2,6</t>
  </si>
  <si>
    <t>Kurşun</t>
  </si>
  <si>
    <t>Kok</t>
  </si>
  <si>
    <t>Kloroform</t>
  </si>
  <si>
    <t>Kömür</t>
  </si>
  <si>
    <t>1,2-1,5</t>
  </si>
  <si>
    <t>Mermer</t>
  </si>
  <si>
    <t>2,0-2,8</t>
  </si>
  <si>
    <t>Mermer Pirinci</t>
  </si>
  <si>
    <t>Metil Alkol</t>
  </si>
  <si>
    <t>Mika</t>
  </si>
  <si>
    <t>Muşamba</t>
  </si>
  <si>
    <t>1,1-1,3</t>
  </si>
  <si>
    <t>Makine Yağı</t>
  </si>
  <si>
    <t>Mağnezyum</t>
  </si>
  <si>
    <t>Mağnez Alaşımlı</t>
  </si>
  <si>
    <t>Manganez</t>
  </si>
  <si>
    <t>Mazot</t>
  </si>
  <si>
    <t>Nikel</t>
  </si>
  <si>
    <t>Pirinç (Dökme)</t>
  </si>
  <si>
    <t>8,4-8,7</t>
  </si>
  <si>
    <t>Pirinç (İşlenmiş)</t>
  </si>
  <si>
    <t>8,5-8,6</t>
  </si>
  <si>
    <t>Porselen</t>
  </si>
  <si>
    <t>2,2-2,5</t>
  </si>
  <si>
    <t>Potasyum</t>
  </si>
  <si>
    <t>Platin</t>
  </si>
  <si>
    <t>Parafin</t>
  </si>
  <si>
    <t>Petrol</t>
  </si>
  <si>
    <t>Radyum</t>
  </si>
  <si>
    <t>Reçine Yağı</t>
  </si>
  <si>
    <t>Silisyum</t>
  </si>
  <si>
    <t>Sıva</t>
  </si>
  <si>
    <t>Su</t>
  </si>
  <si>
    <t>Su,Deniz suyu</t>
  </si>
  <si>
    <t>Stabilize-Tuvanen</t>
  </si>
  <si>
    <t>Sülfür Asit</t>
  </si>
  <si>
    <t>Sodyum</t>
  </si>
  <si>
    <t>1,4-1,6 kg/ad</t>
  </si>
  <si>
    <t>Toryum</t>
  </si>
  <si>
    <t>Titan</t>
  </si>
  <si>
    <t>Tuz</t>
  </si>
  <si>
    <t>Uranyum</t>
  </si>
  <si>
    <t>Vanadyum</t>
  </si>
  <si>
    <t>Volfram</t>
  </si>
  <si>
    <t>Yağ</t>
  </si>
  <si>
    <t>Yağ (Disel)</t>
  </si>
  <si>
    <t>Yağ (Kolza)</t>
  </si>
  <si>
    <t>Yağlar</t>
  </si>
  <si>
    <t>Yün</t>
  </si>
  <si>
    <t>Yün,Keçe</t>
  </si>
  <si>
    <t>Yığın Beton</t>
  </si>
  <si>
    <t>Zımpara Tozu</t>
  </si>
  <si>
    <t>Zımpara Taşı</t>
  </si>
  <si>
    <t>Zift</t>
  </si>
  <si>
    <t>İNCE ETLİ KARE VE DİKDÖRTGEN PROFİLLER</t>
  </si>
  <si>
    <t>KALIN ETLİ KARE PROFİLLER</t>
  </si>
  <si>
    <t>a x a</t>
  </si>
  <si>
    <t>20 x 20</t>
  </si>
  <si>
    <t>e</t>
  </si>
  <si>
    <t>30 x 30</t>
  </si>
  <si>
    <t>40 x 40</t>
  </si>
  <si>
    <t>50 x 50</t>
  </si>
  <si>
    <t>60 x 60</t>
  </si>
  <si>
    <t>70 x 70</t>
  </si>
  <si>
    <t>80 x 80</t>
  </si>
  <si>
    <t>90 x 90</t>
  </si>
  <si>
    <t>100 x 100</t>
  </si>
  <si>
    <t>115 x 115</t>
  </si>
  <si>
    <t>120 x 120</t>
  </si>
  <si>
    <t>135 x 135</t>
  </si>
  <si>
    <t>140 x 140</t>
  </si>
  <si>
    <t>150 x 150</t>
  </si>
  <si>
    <t>160 x 160</t>
  </si>
  <si>
    <t>175 x 175</t>
  </si>
  <si>
    <t>180 x 180</t>
  </si>
  <si>
    <t>10 x 10</t>
  </si>
  <si>
    <t>a x b</t>
  </si>
  <si>
    <t>40 x 20</t>
  </si>
  <si>
    <t>KALIN ETLİ DİKDÖRTGEN PROFİLLER</t>
  </si>
  <si>
    <t>50 x 30</t>
  </si>
  <si>
    <t>60 x 40</t>
  </si>
  <si>
    <t>80 x 40</t>
  </si>
  <si>
    <t>90 x 50</t>
  </si>
  <si>
    <t>100 x 60</t>
  </si>
  <si>
    <t>120 x 60</t>
  </si>
  <si>
    <t>120 x 80</t>
  </si>
  <si>
    <t>140 x 90</t>
  </si>
  <si>
    <t>160 x 80</t>
  </si>
  <si>
    <t>180 x 100</t>
  </si>
  <si>
    <t>200 x 100</t>
  </si>
  <si>
    <t>200 x 120</t>
  </si>
  <si>
    <t>220 x 140</t>
  </si>
  <si>
    <t xml:space="preserve">h ve b </t>
  </si>
  <si>
    <t>toleransı</t>
  </si>
  <si>
    <t>F Birim Ağırlık (kg/m)</t>
  </si>
  <si>
    <t>+ - 0,20</t>
  </si>
  <si>
    <t>+ - 0,25</t>
  </si>
  <si>
    <t>+ - 0,30</t>
  </si>
  <si>
    <t>+ - 0,40</t>
  </si>
  <si>
    <t>+ - 0,50</t>
  </si>
  <si>
    <t>+ - 0,75</t>
  </si>
  <si>
    <t>+ - 0,80</t>
  </si>
  <si>
    <t>HASIR</t>
  </si>
  <si>
    <t>HASIR ARALIĞI</t>
  </si>
  <si>
    <t>HASIR ÇAPI</t>
  </si>
  <si>
    <t>HASIR KESİT ALANI</t>
  </si>
  <si>
    <t xml:space="preserve">HASIR BİRİM </t>
  </si>
  <si>
    <t xml:space="preserve">HASIR TABAKA </t>
  </si>
  <si>
    <t xml:space="preserve">BOYDAKİ ÇUBUK </t>
  </si>
  <si>
    <t xml:space="preserve">ENDEKİ ÇUBUK </t>
  </si>
  <si>
    <t>TİPİ</t>
  </si>
  <si>
    <t>AĞIRLIĞI</t>
  </si>
  <si>
    <t>SAYISI</t>
  </si>
  <si>
    <t>R &amp; Q</t>
  </si>
  <si>
    <t>BOY</t>
  </si>
  <si>
    <t>BİNDİRME BOYU</t>
  </si>
  <si>
    <t>EN</t>
  </si>
  <si>
    <t>kg/m2</t>
  </si>
  <si>
    <t>ad</t>
  </si>
  <si>
    <t>SIRA NO</t>
  </si>
  <si>
    <t>Q106/106</t>
  </si>
  <si>
    <t>Q106/131</t>
  </si>
  <si>
    <t>Q106/158</t>
  </si>
  <si>
    <t>Q131/106</t>
  </si>
  <si>
    <t>Q131/131</t>
  </si>
  <si>
    <t>Q131/158</t>
  </si>
  <si>
    <t>Q131/188</t>
  </si>
  <si>
    <t>Q131/221</t>
  </si>
  <si>
    <t>Q131/257</t>
  </si>
  <si>
    <t>Q131/295</t>
  </si>
  <si>
    <t>Q158/106</t>
  </si>
  <si>
    <t>Q158/131</t>
  </si>
  <si>
    <t>Q158/158</t>
  </si>
  <si>
    <t>Q158/188</t>
  </si>
  <si>
    <t>Q158/221</t>
  </si>
  <si>
    <t>Q158/257</t>
  </si>
  <si>
    <t>Q158/295</t>
  </si>
  <si>
    <t>Q188/131</t>
  </si>
  <si>
    <t>Q188/158</t>
  </si>
  <si>
    <t>Q188/188</t>
  </si>
  <si>
    <t>Q188/221</t>
  </si>
  <si>
    <t>Q188/257</t>
  </si>
  <si>
    <t>Q188/295</t>
  </si>
  <si>
    <t>Q221/158</t>
  </si>
  <si>
    <t>Q221/188</t>
  </si>
  <si>
    <t>Q221/221</t>
  </si>
  <si>
    <t>Q221/257</t>
  </si>
  <si>
    <t>Q221/295</t>
  </si>
  <si>
    <t>Q257/131</t>
  </si>
  <si>
    <t>Q257/158</t>
  </si>
  <si>
    <t>Q257/188</t>
  </si>
  <si>
    <t>Q257/221</t>
  </si>
  <si>
    <t>Q257/257</t>
  </si>
  <si>
    <t>Q257/295</t>
  </si>
  <si>
    <t>Q295/131</t>
  </si>
  <si>
    <t>Q295/158</t>
  </si>
  <si>
    <t>Q295/188</t>
  </si>
  <si>
    <t>Q295/221</t>
  </si>
  <si>
    <t>Q295/257</t>
  </si>
  <si>
    <t>Q295/295</t>
  </si>
  <si>
    <t>Q317/131</t>
  </si>
  <si>
    <t>d</t>
  </si>
  <si>
    <t>Q317/158</t>
  </si>
  <si>
    <t>Q317/188</t>
  </si>
  <si>
    <t>Q317/221</t>
  </si>
  <si>
    <t>Q317/257</t>
  </si>
  <si>
    <t>Q317/295</t>
  </si>
  <si>
    <t>Q377/131</t>
  </si>
  <si>
    <t>Q377/158</t>
  </si>
  <si>
    <t>Q377/188</t>
  </si>
  <si>
    <t>Q377/221</t>
  </si>
  <si>
    <t>Q377/257</t>
  </si>
  <si>
    <t>Q377/295</t>
  </si>
  <si>
    <t>Q443/158</t>
  </si>
  <si>
    <t>Q443/188</t>
  </si>
  <si>
    <t>Q443/221</t>
  </si>
  <si>
    <t>Q443/257</t>
  </si>
  <si>
    <t>Q443/295</t>
  </si>
  <si>
    <t>Q513/188</t>
  </si>
  <si>
    <t>Q513/221</t>
  </si>
  <si>
    <t>Q513/257</t>
  </si>
  <si>
    <t>Q513/295</t>
  </si>
  <si>
    <t>Q589/221</t>
  </si>
  <si>
    <t>Q589/257</t>
  </si>
  <si>
    <t>Q589/295</t>
  </si>
  <si>
    <t>R106</t>
  </si>
  <si>
    <t>R131</t>
  </si>
  <si>
    <t>R158</t>
  </si>
  <si>
    <t>R188</t>
  </si>
  <si>
    <t>R221</t>
  </si>
  <si>
    <t>R257</t>
  </si>
  <si>
    <t>R295</t>
  </si>
  <si>
    <t>R317</t>
  </si>
  <si>
    <t>R335</t>
  </si>
  <si>
    <t>R377</t>
  </si>
  <si>
    <t>R443</t>
  </si>
  <si>
    <t>R513</t>
  </si>
  <si>
    <t>R589</t>
  </si>
  <si>
    <t xml:space="preserve">ÇUBUK ARALIĞINA GÖRE </t>
  </si>
  <si>
    <t>DONATI KESİT ALANI (cm2/m)</t>
  </si>
  <si>
    <t>ÇUBUK ARALIKLARI (mm)</t>
  </si>
  <si>
    <t>~ 100d</t>
  </si>
  <si>
    <t>~ 150d</t>
  </si>
  <si>
    <t>ÇUBUK ÇAPI</t>
  </si>
  <si>
    <t xml:space="preserve"> </t>
  </si>
  <si>
    <t>ÇUBUK AĞIRLIĞI</t>
  </si>
  <si>
    <t>ÇUBUK KESİT ALANI</t>
  </si>
  <si>
    <t>Bayındırlık ve İskan Bakanlığından:</t>
  </si>
  <si>
    <t>I. SINIF YAPILAR</t>
  </si>
  <si>
    <t>             • ve bu gruptakilere benzer yapılar.</t>
  </si>
  <si>
    <t>             • Basit padok, büyük ve küçük baş hayvan ağılları</t>
  </si>
  <si>
    <t xml:space="preserve">             • Su depoları                                                                                                                                            </t>
  </si>
  <si>
    <t>             • İş yeri depoları</t>
  </si>
  <si>
    <t>II. SINIF YAPILAR</t>
  </si>
  <si>
    <t>III. SINIF YAPILAR</t>
  </si>
  <si>
    <t>IV. SINIF YAPILAR</t>
  </si>
  <si>
    <t>V. SINIF YAPILAR</t>
  </si>
  <si>
    <t>Yapının Birim Maliyeti</t>
  </si>
  <si>
    <t>YAPININ MİMARLIK HİZMETLERİNE ESAS OLAN SINIFI                                                                     </t>
  </si>
  <si>
    <t xml:space="preserve"> (BM) YTL/m²        </t>
  </si>
  <si>
    <t xml:space="preserve">A GRUBU YAPILAR                                                                                                                                       </t>
  </si>
  <si>
    <t xml:space="preserve">   16/7/1985 tarihli ve 85/9707 sayılı Bakanlar Kurulu Kararı ile yürürlüğe giren "Mimarlık ve Mühendislik Hizmetleri Şartnamesi’nin 3.2 maddesi gereğince mimarlık ve mühendislik hizmet bedellerinin hesabında kullanılacak 2006 yılı Yapı Yaklaşık Birim Maliyetleri, yapının mimarlık hizmetlerine esas olan sınıfı dikkate alınarak inşaat genel giderleri ile yüklenici kârı dahil belirlenerek aşağıda gösterilmiştir.</t>
  </si>
  <si>
    <t>• 3 m yüksekliğe kadar kagir ve betonarme istinat ve bahçe duvarları</t>
  </si>
  <si>
    <t>• Basit kümes ve tarım yapıları</t>
  </si>
  <si>
    <t>• Mevcut yapılar arası bağlantı-geçiş yolları</t>
  </si>
  <si>
    <t>• Baraka veya geçici kullanımı olan küçük yapılar</t>
  </si>
  <si>
    <t>• Yardımcı yapılar (Müştemilat)</t>
  </si>
  <si>
    <t>• Gölgelikler-çardaklar</t>
  </si>
  <si>
    <t>• Üstü kapalı yanları açık teneffüs, oyun gösteri alanları</t>
  </si>
  <si>
    <t>• ve bu gruptakilere benzer yapılar.</t>
  </si>
  <si>
    <t>• Kuleler, ayaklı su depoları</t>
  </si>
  <si>
    <t>• Palplanj ve ankrajlı perde ve istinat duvarları</t>
  </si>
  <si>
    <t>• Kayıkhane</t>
  </si>
  <si>
    <t>• Seralar</t>
  </si>
  <si>
    <t>• Pnömatik ve şişirme yapılar</t>
  </si>
  <si>
    <t>• Hangar yapıları</t>
  </si>
  <si>
    <t>• Tek katlı ofisler, dükkan ve basit atölyeler</t>
  </si>
  <si>
    <t>• Semt sahaları (Müştemilatı)</t>
  </si>
  <si>
    <t>• Tarım ve endüstri yapıları (Tek katlı prefabrike binalar, tesisat ağırlıklı ağıllar, fidan yetiştirme ve bekletme tesisleri)</t>
  </si>
  <si>
    <t>• Yat bakım ve onarım atölyeleri, çekek yerleri</t>
  </si>
  <si>
    <t>• Jeoloji, botanik ve tema parkları</t>
  </si>
  <si>
    <t>• Mezbahalar</t>
  </si>
  <si>
    <t>• Okul ve mahalle spor tesisleri (Temel eğitim okullarının veya işletme ve tesislerin spor salonları, jimnastik salonları, semt salonları)</t>
  </si>
  <si>
    <t>• Katlı garajlar</t>
  </si>
  <si>
    <t xml:space="preserve">• Hobi ve oyun salonları                                                                                                                            </t>
  </si>
  <si>
    <t>• Ticari bürolar (üç kata kadar-üç kat dahil-asansörsüz, kalorifersiz)</t>
  </si>
  <si>
    <t>• Alışveriş merkezleri (semt pazarları, küçük ve büyük hal binaları, marketler. v.b)</t>
  </si>
  <si>
    <t>• Basımevleri, matbaalar</t>
  </si>
  <si>
    <t>• Soğuk hava depoları</t>
  </si>
  <si>
    <t>• Konutlar (dört kata kadar-dört kat dahil- asansörsüz, kalorifersiz)</t>
  </si>
  <si>
    <t>• Benzin istasyonları</t>
  </si>
  <si>
    <t>• Kampingler</t>
  </si>
  <si>
    <t>• Küçük sanayi tesisleri (Donanımlı atölyeler, ticarethane, dükkan, imalathane, dökümhane)</t>
  </si>
  <si>
    <t>• Semt postaneleri</t>
  </si>
  <si>
    <t>• ve bu gruptakilere benzer yapılar</t>
  </si>
  <si>
    <r>
      <t xml:space="preserve">             </t>
    </r>
    <r>
      <rPr>
        <b/>
        <u/>
        <sz val="8"/>
        <rFont val="Arial"/>
        <family val="2"/>
        <charset val="162"/>
      </rPr>
      <t>Açıklamalar :</t>
    </r>
  </si>
  <si>
    <t>• Kreş-Gündüz bakımevleri</t>
  </si>
  <si>
    <t>• Otel ve moteller (1 ve 2 yıldızlı oteller, 2. sınıf moteller)</t>
  </si>
  <si>
    <t>• Entegre tarım ve endüstri yapıları</t>
  </si>
  <si>
    <t>• İdari binalar (ilçe tipi hükümet konakları, vergi daireleri)</t>
  </si>
  <si>
    <t>• Gençlik Merkezleri</t>
  </si>
  <si>
    <t>• Belediyeler ve çeşitli amaçlı kamu binaları</t>
  </si>
  <si>
    <t>• Lokanta, kafeterya ve yemekhaneler</t>
  </si>
  <si>
    <t>• Temel eğitim okulları</t>
  </si>
  <si>
    <t>• Küçük kitaplık ve benzeri kültür tesisleri</t>
  </si>
  <si>
    <t>• Jandarma ve emniyet  karakol binaları</t>
  </si>
  <si>
    <t>• Sağlık tesisleri (sağlık ocakları, kamu sağlık dispanserleri, sağlık evleri, sağlık merkezleri)</t>
  </si>
  <si>
    <t>• Ticari bürolar (Kaloriferli ve asansörsüz veya kalorifersiz ve asansörlü)</t>
  </si>
  <si>
    <t>•  Halk evleri</t>
  </si>
  <si>
    <t>• Pansiyonlar</t>
  </si>
  <si>
    <t>• 150 kişiye kadar cezaevleri</t>
  </si>
  <si>
    <t>• Fuarlar</t>
  </si>
  <si>
    <t>• Sergi salonları</t>
  </si>
  <si>
    <t>• Konutlar (asansörlü ve/veya kaloriferli)</t>
  </si>
  <si>
    <t>• Marinalar</t>
  </si>
  <si>
    <t>• Gece kulübü, diskotekler</t>
  </si>
  <si>
    <t>• İtfaiye kurtarma istasyonları</t>
  </si>
  <si>
    <t>• Misafirhaneler</t>
  </si>
  <si>
    <t>• Büyük çiftlik yapıları</t>
  </si>
  <si>
    <t>• Özelliği olan büyük okul yapıları (Spor salonu, konferans salonu ve ek tesisleri olan eğitim yapıları)</t>
  </si>
  <si>
    <t xml:space="preserve">• Poliklinikler ve benzeri sağlık yapıları (Hastaneler hariç) </t>
  </si>
  <si>
    <t>• Liman binaları</t>
  </si>
  <si>
    <t>• İl tipi hükümet konakları (Büyük idare ve Büyükşehir belediye binaları)</t>
  </si>
  <si>
    <t>• Ticari  Bürolar (Asansörlü ve kaloriferli)</t>
  </si>
  <si>
    <t>• 150 kişiyi geçen cezaevleri</t>
  </si>
  <si>
    <t>• Kaplıcalar, şifa evleri v.b termal tesisleri</t>
  </si>
  <si>
    <t>• Rehabilitasyon ve tedavi merkezleri</t>
  </si>
  <si>
    <t>• İbadethaneler (Dini yapılar 1000 kişiye kadar)</t>
  </si>
  <si>
    <t>• Sanayi tesisleri ve fabrikalar (Fen ve sanat yönünden nitelikli)</t>
  </si>
  <si>
    <t>• Aqua parklar</t>
  </si>
  <si>
    <t>• Müstakil spor köyleri (Yüzme havuzları, spor salonları ve stadlar)</t>
  </si>
  <si>
    <t>• Özellikli müstakil konutlar (villalar, teras evleri, dağ evleri, kaymakam evi)</t>
  </si>
  <si>
    <t>• Yaşlılar Huzurevi, kimsesiz çocuk yuvaları, yetiştirme yurtları</t>
  </si>
  <si>
    <t>• Büyük alışveriş merkezleri</t>
  </si>
  <si>
    <t>• İş Merkezleri</t>
  </si>
  <si>
    <t>• Araştırma binaları ve laboratuarlar</t>
  </si>
  <si>
    <t>• Metro istasyonları</t>
  </si>
  <si>
    <t>• Stadyum, spor salonları ve yüzme havuzları</t>
  </si>
  <si>
    <t>• Büyük postaneler (merkez postaneleri)</t>
  </si>
  <si>
    <t>• Otobüs terminalleri</t>
  </si>
  <si>
    <t>• Satış ve sergi binaları (showroomlar)</t>
  </si>
  <si>
    <t>• Eğlence amaçlı yapılar (çok amaçlı toplantı, eğlence ve düğün salonları)</t>
  </si>
  <si>
    <t>• Banka binaları</t>
  </si>
  <si>
    <t>• Otel ve moteller (3 ve 4 yıldızlı oteller ile 1. sınıf moteller)</t>
  </si>
  <si>
    <t>• Normal radyo ve televizyon binaları</t>
  </si>
  <si>
    <t>• Özelliği olan genel sığınaklar</t>
  </si>
  <si>
    <t>• Hastaneler (150 yatağa kadar)</t>
  </si>
  <si>
    <t>• Büyük kütüphaneler ve kültür yapıları</t>
  </si>
  <si>
    <t>• Bakanlık binaları</t>
  </si>
  <si>
    <t>• Yüksek öğrenim yurtları</t>
  </si>
  <si>
    <t>• Arşiv  binaları</t>
  </si>
  <si>
    <t>• Büyük Adliye Sarayları</t>
  </si>
  <si>
    <t>• Radyo-Tv İstasyonları</t>
  </si>
  <si>
    <t>• Özelliği olan askeri yapılar ve orduevi</t>
  </si>
  <si>
    <t>• Büyükelçilik yapıları, vali konakları ve 600 m² üzerindeki özel konutlar</t>
  </si>
  <si>
    <t>• Borsa binaları</t>
  </si>
  <si>
    <t>• Üniversite kampüsleri</t>
  </si>
  <si>
    <t xml:space="preserve">• Alışveriş kompleksleri (İçerisinde sinema, tiyatro, sergi salonu, kafe, restoran, market, v.b. bulunan) </t>
  </si>
  <si>
    <t>• Kongre merkezleri</t>
  </si>
  <si>
    <t>• Müze, sergi kütüphane kompleksleri</t>
  </si>
  <si>
    <t>• Olimpik spor tesisleri-hipodromlar</t>
  </si>
  <si>
    <t>• Bilimsel araştırma merkezleri, AR-GE binaları</t>
  </si>
  <si>
    <t>• Havaalanları</t>
  </si>
  <si>
    <t>• İbadethaneler  (1000 kişinin üzerinde)</t>
  </si>
  <si>
    <t>• Hastaneler  (150 yatağın üstündeki hastaneler ve özelliği olan ihtisas hastaneleri)</t>
  </si>
  <si>
    <t>• Üst donanımlı kompleks oteller ve tatil köyleri  (5 yıldızlı)</t>
  </si>
  <si>
    <t>• Büyük radyo ve televizyon binaları</t>
  </si>
  <si>
    <t>• Opera, tiyatro bale yapıları, konser salonları ve kompleksleri</t>
  </si>
  <si>
    <t>• Restore edilecek yapılar ve tarihi ve eski eserler niteliğinde olup. Yıkılarak orijinaline uygun olarak yapılan yapılar</t>
  </si>
  <si>
    <t>1) Benzer yapılar, ilgili gruptaki yapılara kıyasen uygulayıcı kurum ve kuruluşlarca  belirlenecektir.</t>
  </si>
  <si>
    <t>2) Tebliğin revizyonu çalışmalarında sınıfı veya grubu değiştiren ve tebliğden çıkarılan yapılar için, 2006 yılından önceki tebliğlere göre yapı sınıfı ve grubu belirlenerek  başlatılmış ve devam eden işlerde, söz konusu tebliğlerdeki yapı sınıfı ve grubu değiştirilmeksizin 2006 yılı tebliğinde karşılığı olan tutar esas alınmak suretiyle hesap yapılacaktır.</t>
  </si>
  <si>
    <r>
      <t>B GRUBU YAPILAR</t>
    </r>
    <r>
      <rPr>
        <sz val="8"/>
        <rFont val="Arial"/>
        <family val="2"/>
        <charset val="162"/>
      </rPr>
      <t>                                             </t>
    </r>
  </si>
  <si>
    <t>A GRUBU YAPILAR                                              </t>
  </si>
  <si>
    <t>B GRUBU YAPILAR                </t>
  </si>
  <si>
    <t>A  GRUBU YAPILAR                    </t>
  </si>
  <si>
    <t>B GRUBU YAPILAR                                                                         </t>
  </si>
  <si>
    <t>A  GRUBU YAPILAR                                                               </t>
  </si>
  <si>
    <t>B GRUBU YAPILAR                                                                    </t>
  </si>
  <si>
    <t>C GRUBU YAPILAR                                                                                                           </t>
  </si>
  <si>
    <t>A GRUBU YAPILAR                                                          </t>
  </si>
  <si>
    <t>B GRUBU YAPILAR                                                                 </t>
  </si>
  <si>
    <t>C GRUBU YAPILAR                                                                           </t>
  </si>
  <si>
    <t>D GRUBU YAPILAR                                                                          </t>
  </si>
  <si>
    <t>ÇİNKO LEVHALARIN BİRİM AĞIRLIKLARI</t>
  </si>
  <si>
    <t>No</t>
  </si>
  <si>
    <t xml:space="preserve">Kalınlık </t>
  </si>
  <si>
    <t>mm / m</t>
  </si>
  <si>
    <t xml:space="preserve">Ağırlık </t>
  </si>
  <si>
    <t>BAKIR LEVHALARIN BİRİM AĞIRLIKLARI</t>
  </si>
  <si>
    <t>KURŞUN LEVHALARIN BİRİM AĞIRLIKLARI</t>
  </si>
  <si>
    <t>TRAPEZOİDAL KESİTLİ ALÜMİNYUM LEVHALAR</t>
  </si>
  <si>
    <t>DÜZ ALÜMİNYUM LEVHALAR</t>
  </si>
  <si>
    <t>POLİÜRETAN DOLGULU DÜZ ALÜMİNYUM LEVHALAR</t>
  </si>
  <si>
    <t>POLİÜRETAN DOLGULU TRAPEZOİDAL ALÜMİNYUM LEVHALAR</t>
  </si>
  <si>
    <t>GALVANİZLİ (D.K.P.) SACLARIN BİRİM AĞIRLIKLARI</t>
  </si>
  <si>
    <t xml:space="preserve">mm </t>
  </si>
  <si>
    <t>YAĞMUR BORULARI İÇİN ÇİNKO PARÇA KESME TABLOSU</t>
  </si>
  <si>
    <t>200~300</t>
  </si>
  <si>
    <t>150~200</t>
  </si>
  <si>
    <t>100~150</t>
  </si>
  <si>
    <t>75~100</t>
  </si>
  <si>
    <t>50~75</t>
  </si>
  <si>
    <t>25~50</t>
  </si>
  <si>
    <t>10~12</t>
  </si>
  <si>
    <t>YAĞMUR OLUKLARI İÇİN ÇİNKO PARÇA KESME TABLOSU</t>
  </si>
  <si>
    <t>Oluk Kesiti Aanı</t>
  </si>
  <si>
    <t>m2</t>
  </si>
  <si>
    <t>Boru Kesiti Çapı</t>
  </si>
  <si>
    <t>Standart Ölçüdeki Levhadan Kesilecek Çinko Parçası</t>
  </si>
  <si>
    <t>Kullanılacak Çinko</t>
  </si>
  <si>
    <t>Oluk Çapı</t>
  </si>
  <si>
    <t>Parça adedi</t>
  </si>
  <si>
    <t>Oluğa İsabet Eden Çatı Sahası Yatay İzdüşümü (m2)</t>
  </si>
  <si>
    <t>Boruya İsabet Eden Çatı Sahası Yatay İzdüşümü</t>
  </si>
  <si>
    <t>ÇUBUK SAYISI</t>
  </si>
  <si>
    <t xml:space="preserve">BETONARME ÇELİK ÇUBUKLARIN Fe (Cm2) KESİT ALANLARI </t>
  </si>
  <si>
    <t>KRİŞLERİN (b0) GENİŞLİĞİ (cm) VE (Fe) DONATISI (Cm2)</t>
  </si>
  <si>
    <t>TAŞIYICI ÇUBUK ÇAPI</t>
  </si>
  <si>
    <t>b0</t>
  </si>
  <si>
    <t>Fe</t>
  </si>
  <si>
    <t xml:space="preserve">ÇUBUK ARALIĞI </t>
  </si>
  <si>
    <t>(cm) (t)</t>
  </si>
  <si>
    <t>(mm) OLARAK ÇUBUK ÇAPI</t>
  </si>
  <si>
    <t>100 cm GENİŞLİĞİ İÇİN DÖŞEME DONATISININ KESİT ALANLARI fe (cm2 / mt)</t>
  </si>
  <si>
    <t>Fe= 100 x f / t</t>
  </si>
  <si>
    <t>(f= Bir çubuğun kesit alanı, t= çubukların eşit aralığı)</t>
  </si>
  <si>
    <t>(mt de)</t>
  </si>
  <si>
    <t>BİR İLE ONDÖRT ETRİYE İÇİN ÇİFT TESİRLİ (Fe) DEĞERLERİ</t>
  </si>
  <si>
    <t>ÇAP</t>
  </si>
  <si>
    <t>ETRİYE SAYISI</t>
  </si>
  <si>
    <t>PİLYE SAYISI (Kesmeye karşı 45 derece eğik çubuk adedi)</t>
  </si>
  <si>
    <t>BİR İLE ONDÖRT PİLYE İÇİN Fs=KÖK(2)xFe DEĞERLERİ</t>
  </si>
  <si>
    <t>NOT: 60 Derece eğik çubuklar için yukarıdaki miktarlar 0,966 ile çarpılacaktır.</t>
  </si>
  <si>
    <t>KİRİŞLERDE KABUL EDİLEBİLECEK PİLYE (EĞİK-KIRIM) BOYLARI</t>
  </si>
  <si>
    <t>cm</t>
  </si>
  <si>
    <t>DERECE</t>
  </si>
  <si>
    <t>-</t>
  </si>
  <si>
    <t>KABUL EDİLEBİLECEK KANCA BOYLARI</t>
  </si>
  <si>
    <t>KANCA BOYU</t>
  </si>
  <si>
    <t>SU VE GAZ BORULARI</t>
  </si>
  <si>
    <t>(GALVANİZLİ - SİYAH)</t>
  </si>
  <si>
    <t>ANMA ÇAPI</t>
  </si>
  <si>
    <t>1 / 2"</t>
  </si>
  <si>
    <t>3 / 4"</t>
  </si>
  <si>
    <t>1"</t>
  </si>
  <si>
    <t>1.1 / 4"</t>
  </si>
  <si>
    <t>1.1 / 2"</t>
  </si>
  <si>
    <t>2"</t>
  </si>
  <si>
    <t>2.1 / 2"</t>
  </si>
  <si>
    <t>3"</t>
  </si>
  <si>
    <t>4"</t>
  </si>
  <si>
    <t>5"</t>
  </si>
  <si>
    <t>6"</t>
  </si>
  <si>
    <t>İnç.</t>
  </si>
  <si>
    <t>DIŞ ÇAP</t>
  </si>
  <si>
    <t>Min.</t>
  </si>
  <si>
    <t>Max.</t>
  </si>
  <si>
    <t>Opt.</t>
  </si>
  <si>
    <t>ET KALINLIĞI</t>
  </si>
  <si>
    <t>AĞIRLIK (Kg / m )</t>
  </si>
  <si>
    <t>Dişsiz Manşonsuz</t>
  </si>
  <si>
    <t>Siyah</t>
  </si>
  <si>
    <t>Galvanizli</t>
  </si>
  <si>
    <t xml:space="preserve">PORTLAND ÇİMENTOSU </t>
  </si>
  <si>
    <t xml:space="preserve">KATKILI PORTLAND ÇİMENTOSU </t>
  </si>
  <si>
    <t xml:space="preserve">DEMİR PORTLAND ÇİMENTOSU </t>
  </si>
  <si>
    <t xml:space="preserve">CURUF ÇİMENTOSU </t>
  </si>
  <si>
    <t xml:space="preserve">TRASLI ÇİMENTOSU </t>
  </si>
  <si>
    <t>ÇİMENTO YOĞUNLUĞU (Kg / dm3)</t>
  </si>
  <si>
    <t>AGREGA YOĞUNLUĞU (Kg / dm3)</t>
  </si>
  <si>
    <t>KUVARS KUMU (0-4 mm)</t>
  </si>
  <si>
    <t>YOĞUN KALKER KUMU (0-4 mm)</t>
  </si>
  <si>
    <t>GRANİT (&gt;4 mm)</t>
  </si>
  <si>
    <t>GNAYS (&gt;4 mm)</t>
  </si>
  <si>
    <t>KALKER (&gt;4 mm)</t>
  </si>
  <si>
    <t>PORFİL,DİYABAZ (&gt;4 mm)</t>
  </si>
  <si>
    <t>DİORİT (&gt;4 mm)</t>
  </si>
  <si>
    <t>BOYUT</t>
  </si>
  <si>
    <t>( cm )</t>
  </si>
  <si>
    <t>( mm )</t>
  </si>
  <si>
    <t>( cm2 / m )</t>
  </si>
  <si>
    <t>ÇİFT ÇUBUK</t>
  </si>
  <si>
    <t>kg / m2</t>
  </si>
  <si>
    <t>kg / ad</t>
  </si>
  <si>
    <t>STANDART ÇELİK HASIR TABLOSU (Q ve R TİPİ)</t>
  </si>
  <si>
    <t>Q221/158-a</t>
  </si>
  <si>
    <t>Q221/158-b</t>
  </si>
  <si>
    <t>Q221/158-c</t>
  </si>
  <si>
    <t>Q221/158-d</t>
  </si>
  <si>
    <t>NAKLİYE HESABINDA KULLANILMAK ÜZERE</t>
  </si>
  <si>
    <t>MİMARLIK VE MÜHENDİSLİK HİZMET BEDELLERİNİN HESABINDA KULLANILACAK 2004-2005-2006-2007 YILI YAPI</t>
  </si>
  <si>
    <t>İMALATIN CİNSİ</t>
  </si>
  <si>
    <t>YIĞMA</t>
  </si>
  <si>
    <t>BETONARME KARKAS</t>
  </si>
  <si>
    <t>BETONARME BETONU</t>
  </si>
  <si>
    <t>0,250 m3 / m2</t>
  </si>
  <si>
    <t>BETONARME DEMİRİ</t>
  </si>
  <si>
    <t>22 kg / m2</t>
  </si>
  <si>
    <t>34 kg / m2</t>
  </si>
  <si>
    <t>BETONARME KALIP</t>
  </si>
  <si>
    <t>1,75 m2 / m2</t>
  </si>
  <si>
    <t>KALIP İSKELESİ</t>
  </si>
  <si>
    <t>1,90 m3 / m2</t>
  </si>
  <si>
    <t>2,80 m3 / m2</t>
  </si>
  <si>
    <t>2,6 m2 / m2</t>
  </si>
  <si>
    <t>İŞ İSKELESİ</t>
  </si>
  <si>
    <t>1,43 m2 / m2</t>
  </si>
  <si>
    <t>TUĞLA DUVAR</t>
  </si>
  <si>
    <t>0,200 m3 / m2</t>
  </si>
  <si>
    <t>0,150 m3 / m2</t>
  </si>
  <si>
    <t>İÇ SIVA</t>
  </si>
  <si>
    <t>2,40 m2 / m2</t>
  </si>
  <si>
    <t>DIŞ SIVA</t>
  </si>
  <si>
    <t>1,30 m2 / m2</t>
  </si>
  <si>
    <t>TAVAN SIVASI</t>
  </si>
  <si>
    <t>0,90 m2 / m2</t>
  </si>
  <si>
    <t>BADANA (İÇ)</t>
  </si>
  <si>
    <t>3,00 m2 / m2</t>
  </si>
  <si>
    <t>FAYANS-SERAMİK</t>
  </si>
  <si>
    <t>0,30 m2 / m2</t>
  </si>
  <si>
    <t>AHŞAP YAPI-KARKAS</t>
  </si>
  <si>
    <t>0,15 m2 / m2</t>
  </si>
  <si>
    <t>AHŞAP PENCERE</t>
  </si>
  <si>
    <t>0,12 m2 / m2</t>
  </si>
  <si>
    <t>YAĞLI BOYA</t>
  </si>
  <si>
    <t>0,42 m2 / m2</t>
  </si>
  <si>
    <t>TEK KAT</t>
  </si>
  <si>
    <t>İKİ KAT</t>
  </si>
  <si>
    <t>ÜÇ KAT</t>
  </si>
  <si>
    <t>DÖRT KAT</t>
  </si>
  <si>
    <t>BEŞ KAT</t>
  </si>
  <si>
    <t>1,25 m2 / m2</t>
  </si>
  <si>
    <t>0,63 m2 / m2</t>
  </si>
  <si>
    <t>0,33 m2 / m2</t>
  </si>
  <si>
    <t>0,25 m2 / m2</t>
  </si>
  <si>
    <t>AHŞAP ÇATI,KİREMİT (TOPLAM İNŞ. ALANI ÜZERİNDEN)</t>
  </si>
  <si>
    <t>METAL ÖRTÜ (TOPLAM İNŞ. ALANI ÜZERİNDEN)</t>
  </si>
  <si>
    <t>1,33 m2 / m2</t>
  </si>
  <si>
    <t>0,67 m2 / m2</t>
  </si>
  <si>
    <t>0,44 m2 / m2</t>
  </si>
  <si>
    <t>0,34 m2 / m2</t>
  </si>
  <si>
    <t>0,27 m2 / m2</t>
  </si>
  <si>
    <t>MOZAİK DÖŞEME KAP.</t>
  </si>
  <si>
    <t>CAM</t>
  </si>
  <si>
    <t>0,10 m2 / m2</t>
  </si>
  <si>
    <t xml:space="preserve">SIRA </t>
  </si>
  <si>
    <t>YAPI BİRİM ALANINA İSABET EDEN YAKLAŞIK METRAJ BİRİM ÖLÇÜLERİ</t>
  </si>
  <si>
    <t>METRAJLAR ARASINDA PRATİK KABULLER</t>
  </si>
  <si>
    <t xml:space="preserve">TESVİYE TABAKASI ALANI </t>
  </si>
  <si>
    <t>=</t>
  </si>
  <si>
    <t>DÖŞEME KAPLAMASI ALANI</t>
  </si>
  <si>
    <t>BLOKAJ ALANI</t>
  </si>
  <si>
    <t xml:space="preserve">GRO BETON ALANI </t>
  </si>
  <si>
    <t>KİREMİT ALANI</t>
  </si>
  <si>
    <t>AHŞAP ÇATI ALANI</t>
  </si>
  <si>
    <t>ÇATI YALITIM ALANI</t>
  </si>
  <si>
    <t>TAVAN KİREÇ BADANA</t>
  </si>
  <si>
    <t>BADANA ALANI</t>
  </si>
  <si>
    <t>İÇ SIVA ALANI</t>
  </si>
  <si>
    <t>PENCERE YAPLI BOYA ALANI</t>
  </si>
  <si>
    <t>PENCERE DOĞRAMA ALANI</t>
  </si>
  <si>
    <t>1m3 BETON</t>
  </si>
  <si>
    <t>7-8 m2 KALIP</t>
  </si>
  <si>
    <t>DEMİRLİ BETON HACMİ</t>
  </si>
  <si>
    <t>70-90 Kg DEMİR</t>
  </si>
  <si>
    <t>%75-80 CAM ALANI</t>
  </si>
  <si>
    <t>KAPI KANAT ALANI</t>
  </si>
  <si>
    <t>%25 BUZLU CAM ALANI</t>
  </si>
  <si>
    <t>TÜM DEMİRİN</t>
  </si>
  <si>
    <t>%40-45 İNCE DEMİR</t>
  </si>
  <si>
    <t>%55-60 KALIN DEMİR</t>
  </si>
  <si>
    <t>TSE 500 'E GÖRE BETON SINIFLARI</t>
  </si>
  <si>
    <t>BS 16 (C16)</t>
  </si>
  <si>
    <t>BS 18 (C18)</t>
  </si>
  <si>
    <t>BS 20 (C20)</t>
  </si>
  <si>
    <t>BS 25 (C25)</t>
  </si>
  <si>
    <t>BS 30 (C30)</t>
  </si>
  <si>
    <t>BS 35 (C35)</t>
  </si>
  <si>
    <t>BS 40 (C40)</t>
  </si>
  <si>
    <t>BS 45 (C45)</t>
  </si>
  <si>
    <t>BS 50 (C50)</t>
  </si>
  <si>
    <t>BETON SINIFI</t>
  </si>
  <si>
    <r>
      <t xml:space="preserve">Silindir Basınç Dayanımı D=15 cm h=30 cm 28 Günlük 20 derece Suda </t>
    </r>
    <r>
      <rPr>
        <b/>
        <sz val="12"/>
        <rFont val="Arial Tur"/>
        <charset val="162"/>
      </rPr>
      <t>f</t>
    </r>
    <r>
      <rPr>
        <b/>
        <sz val="7"/>
        <rFont val="Arial Tur"/>
        <charset val="162"/>
      </rPr>
      <t>ck</t>
    </r>
    <r>
      <rPr>
        <b/>
        <sz val="10"/>
        <rFont val="Arial Tur"/>
        <charset val="162"/>
      </rPr>
      <t xml:space="preserve"> N/mm2</t>
    </r>
  </si>
  <si>
    <r>
      <t xml:space="preserve">Eşdeğer Küp Basınç Dayanımı (15x15x15 cm) </t>
    </r>
    <r>
      <rPr>
        <b/>
        <sz val="12"/>
        <rFont val="Arial Tur"/>
        <charset val="162"/>
      </rPr>
      <t>f</t>
    </r>
    <r>
      <rPr>
        <b/>
        <sz val="7"/>
        <rFont val="Arial Tur"/>
        <charset val="162"/>
      </rPr>
      <t>ck</t>
    </r>
    <r>
      <rPr>
        <b/>
        <sz val="10"/>
        <rFont val="Arial Tur"/>
        <charset val="162"/>
      </rPr>
      <t xml:space="preserve"> N/mm2</t>
    </r>
  </si>
  <si>
    <r>
      <t xml:space="preserve">Karakteristik Eksenel Çekme Dayanımı </t>
    </r>
    <r>
      <rPr>
        <b/>
        <sz val="12"/>
        <rFont val="Arial Tur"/>
        <charset val="162"/>
      </rPr>
      <t>f</t>
    </r>
    <r>
      <rPr>
        <b/>
        <sz val="7"/>
        <rFont val="Arial Tur"/>
        <charset val="162"/>
      </rPr>
      <t>ctk</t>
    </r>
  </si>
  <si>
    <r>
      <t>28 Günlük Elastisite Modülü E</t>
    </r>
    <r>
      <rPr>
        <b/>
        <sz val="7"/>
        <rFont val="Arial Tur"/>
        <charset val="162"/>
      </rPr>
      <t>c</t>
    </r>
    <r>
      <rPr>
        <b/>
        <sz val="10"/>
        <rFont val="Arial Tur"/>
        <charset val="162"/>
      </rPr>
      <t xml:space="preserve"> </t>
    </r>
  </si>
  <si>
    <t>0,380 m3 / m2</t>
  </si>
  <si>
    <t xml:space="preserve">Ebat / Kalınlık (mm) </t>
  </si>
  <si>
    <t xml:space="preserve">1000 x 2000 </t>
  </si>
  <si>
    <t xml:space="preserve">41.2 kg </t>
  </si>
  <si>
    <t>55 kg</t>
  </si>
  <si>
    <t>68.7 kg</t>
  </si>
  <si>
    <t>82.5 kg</t>
  </si>
  <si>
    <t>96.2 kg</t>
  </si>
  <si>
    <t>110 kg</t>
  </si>
  <si>
    <t>123.7 kg</t>
  </si>
  <si>
    <t>137.5 kg</t>
  </si>
  <si>
    <t xml:space="preserve">1200 x 2400 </t>
  </si>
  <si>
    <t>59.3 kg</t>
  </si>
  <si>
    <t>79.2 kg</t>
  </si>
  <si>
    <t>98.9 kg</t>
  </si>
  <si>
    <t>118.8 kg</t>
  </si>
  <si>
    <t>138.5 kg</t>
  </si>
  <si>
    <t>158.4 kg</t>
  </si>
  <si>
    <t>178.1 kg</t>
  </si>
  <si>
    <t>198 kg</t>
  </si>
  <si>
    <t>2/3</t>
  </si>
  <si>
    <t>3/4</t>
  </si>
  <si>
    <t>4/5</t>
  </si>
  <si>
    <t>5/6</t>
  </si>
  <si>
    <t>5.5/7</t>
  </si>
  <si>
    <t>6.5/8</t>
  </si>
  <si>
    <t>7.5/9</t>
  </si>
  <si>
    <t>8.5/10</t>
  </si>
  <si>
    <t xml:space="preserve">BAKLAVALI SACLAR </t>
  </si>
  <si>
    <t>BAKLAVALI SAC AĞIRLIK CETVELİ</t>
  </si>
  <si>
    <t>Kalınlık (mm.)</t>
  </si>
  <si>
    <t>Ağırlık (Kg.)</t>
  </si>
  <si>
    <t>2/3*1000*2000</t>
  </si>
  <si>
    <t>42 kg</t>
  </si>
  <si>
    <t>2/3*1250*2500</t>
  </si>
  <si>
    <t>65 kg</t>
  </si>
  <si>
    <t>3/4*1000*2000</t>
  </si>
  <si>
    <t>58 kg</t>
  </si>
  <si>
    <t>3/4*1250*2500</t>
  </si>
  <si>
    <t>90 kg</t>
  </si>
  <si>
    <t>4/5*1000*2000</t>
  </si>
  <si>
    <t>74 kg</t>
  </si>
  <si>
    <t>4/5*1250*2500</t>
  </si>
  <si>
    <t>115 kg</t>
  </si>
  <si>
    <t>5/6*1000*2000</t>
  </si>
  <si>
    <t>5/6*1250*2500</t>
  </si>
  <si>
    <t>140 kg</t>
  </si>
  <si>
    <t>http://dedeogludemir.com</t>
  </si>
  <si>
    <t>http://www.groupenerji.com/sac_agirliklari_olculeri.html</t>
  </si>
  <si>
    <t>http://www.ozturali.com/new/tr/teknik.htm</t>
  </si>
  <si>
    <t xml:space="preserve">1000 x 1000 </t>
  </si>
  <si>
    <r>
      <t>F</t>
    </r>
    <r>
      <rPr>
        <sz val="10"/>
        <rFont val="Arial Tur"/>
        <charset val="162"/>
      </rPr>
      <t>= En kesit alanı</t>
    </r>
  </si>
  <si>
    <r>
      <t>G</t>
    </r>
    <r>
      <rPr>
        <sz val="10"/>
        <rFont val="Arial Tur"/>
        <charset val="162"/>
      </rPr>
      <t>= Ağırlık</t>
    </r>
  </si>
  <si>
    <r>
      <t>U</t>
    </r>
    <r>
      <rPr>
        <sz val="10"/>
        <rFont val="Arial Tur"/>
        <charset val="162"/>
      </rPr>
      <t>= 1 m için çevre yüzey alanı</t>
    </r>
  </si>
  <si>
    <t>ÖZEL SİGMA YAPI PROFİLİ MUKAVEMET DEĞERLERİ</t>
  </si>
  <si>
    <t>MALZEME KODU</t>
  </si>
  <si>
    <t>BOYUTLAR</t>
  </si>
  <si>
    <t>KESİT BİLGİLERİ</t>
  </si>
  <si>
    <t>ALAN</t>
  </si>
  <si>
    <t>AĞ.</t>
  </si>
  <si>
    <t>X - X AKSI</t>
  </si>
  <si>
    <t>Y - Y AKSI</t>
  </si>
  <si>
    <t>H</t>
  </si>
  <si>
    <t>B</t>
  </si>
  <si>
    <t>T1</t>
  </si>
  <si>
    <t>T2</t>
  </si>
  <si>
    <t>R1</t>
  </si>
  <si>
    <t>R2</t>
  </si>
  <si>
    <t>Ix</t>
  </si>
  <si>
    <t>Wx</t>
  </si>
  <si>
    <t>İx</t>
  </si>
  <si>
    <t>Iy</t>
  </si>
  <si>
    <t>Wy</t>
  </si>
  <si>
    <t>İy</t>
  </si>
  <si>
    <t>A</t>
  </si>
  <si>
    <t>cm4</t>
  </si>
  <si>
    <t>cm3</t>
  </si>
  <si>
    <t>M.150.40.1,5</t>
  </si>
  <si>
    <t>M.150.40.2</t>
  </si>
  <si>
    <t>M.150.40.2,5</t>
  </si>
  <si>
    <t>M.150.40.3</t>
  </si>
  <si>
    <t>M.150.50.1,5</t>
  </si>
  <si>
    <t>M.150.50.2</t>
  </si>
  <si>
    <t>M.150.50.2,5</t>
  </si>
  <si>
    <t>M.150.50.3</t>
  </si>
  <si>
    <t>M.150.60.1,5</t>
  </si>
  <si>
    <t>M.150.60.2</t>
  </si>
  <si>
    <t>M.150.60.2,5</t>
  </si>
  <si>
    <t>M.150.60.3</t>
  </si>
  <si>
    <t>M.180.60.1,5</t>
  </si>
  <si>
    <t>M.180.60.2</t>
  </si>
  <si>
    <t>M.180.60.2,5</t>
  </si>
  <si>
    <t>M.180.60.3</t>
  </si>
  <si>
    <t>M.180.70.1,5</t>
  </si>
  <si>
    <t>M.180.70.2</t>
  </si>
  <si>
    <t>M.180.70.2,5</t>
  </si>
  <si>
    <t>M.180.70.3</t>
  </si>
  <si>
    <t>M.180.80.1,5</t>
  </si>
  <si>
    <t>M.180.80.2</t>
  </si>
  <si>
    <t>M.180.80.2,5</t>
  </si>
  <si>
    <t>M.180.80.3</t>
  </si>
  <si>
    <t>M.200.70.2</t>
  </si>
  <si>
    <t>M.200.70.2,5</t>
  </si>
  <si>
    <t>M.200.70.3</t>
  </si>
  <si>
    <t>M.200.80.2</t>
  </si>
  <si>
    <t>M.200.80.2,5</t>
  </si>
  <si>
    <t>M.200.80.3</t>
  </si>
  <si>
    <t>M.220.70.2</t>
  </si>
  <si>
    <t>M.220.70.2,5</t>
  </si>
  <si>
    <t>M.220.70.3</t>
  </si>
  <si>
    <t>Nom,Cap,</t>
  </si>
  <si>
    <t>Dış Çap mm,</t>
  </si>
  <si>
    <t>St,Et, Kal,</t>
  </si>
  <si>
    <t>1,6</t>
  </si>
  <si>
    <t>1,8</t>
  </si>
  <si>
    <t>2,3</t>
  </si>
  <si>
    <t>2,6</t>
  </si>
  <si>
    <t>2,9</t>
  </si>
  <si>
    <t>3,2</t>
  </si>
  <si>
    <t>3,6</t>
  </si>
  <si>
    <t>4,5</t>
  </si>
  <si>
    <t>5,6</t>
  </si>
  <si>
    <t>6,3</t>
  </si>
  <si>
    <t>7,1</t>
  </si>
  <si>
    <t>8,8</t>
  </si>
  <si>
    <t>12,5</t>
  </si>
  <si>
    <t>14,2</t>
  </si>
  <si>
    <t>17,5</t>
  </si>
  <si>
    <t>22,2</t>
  </si>
  <si>
    <t>inç</t>
  </si>
  <si>
    <t>Seri1</t>
  </si>
  <si>
    <t>Seri2</t>
  </si>
  <si>
    <t>Seri3</t>
  </si>
  <si>
    <t>2,5</t>
  </si>
  <si>
    <t>1/8</t>
  </si>
  <si>
    <t>1/4</t>
  </si>
  <si>
    <t>3/8</t>
  </si>
  <si>
    <t>1/2</t>
  </si>
  <si>
    <t>1 1/4</t>
  </si>
  <si>
    <t>1 1/2</t>
  </si>
  <si>
    <t>3 1/2</t>
  </si>
  <si>
    <t>http://www.burakboru.com/fileadmin/templates/img/agirlik.htm</t>
  </si>
  <si>
    <t>Ø60,3*2,9</t>
  </si>
  <si>
    <t>Ø60,3*3,2</t>
  </si>
  <si>
    <t>Ø60,3*3,6</t>
  </si>
  <si>
    <t>Ø60,3*4,0</t>
  </si>
  <si>
    <t>Ø60,3*4,5</t>
  </si>
  <si>
    <t>Ø60,3*5</t>
  </si>
  <si>
    <t>Ø60,3*5,6</t>
  </si>
  <si>
    <t>Ø60,3*6,3</t>
  </si>
  <si>
    <t>Ø60,3*7,1</t>
  </si>
  <si>
    <t>Ø60,3*8,0</t>
  </si>
  <si>
    <t>Ø60,3*8,8</t>
  </si>
  <si>
    <t>Ø60,3*10</t>
  </si>
  <si>
    <t>Ø60,3*11</t>
  </si>
  <si>
    <t>Ø60,3*12,5</t>
  </si>
  <si>
    <t>Ø60,3*14,2</t>
  </si>
  <si>
    <t>Ø60,3*16</t>
  </si>
  <si>
    <t>Ø60,3*17,5</t>
  </si>
  <si>
    <t>Ø76*3,2</t>
  </si>
  <si>
    <t>Ø76*3,6</t>
  </si>
  <si>
    <t>Ø76*4,0</t>
  </si>
  <si>
    <t>Ø76*4,5</t>
  </si>
  <si>
    <t>Ø76*5</t>
  </si>
  <si>
    <t>Ø76*5,6</t>
  </si>
  <si>
    <t>Ø76*6,3</t>
  </si>
  <si>
    <t>Ø76*7,1</t>
  </si>
  <si>
    <t>Ø76*8,0</t>
  </si>
  <si>
    <t>Ø76*8,8</t>
  </si>
  <si>
    <t>Ø76*10</t>
  </si>
  <si>
    <t>Ø76*11</t>
  </si>
  <si>
    <t>Ø76*12,5</t>
  </si>
  <si>
    <t>Ø76*14,2</t>
  </si>
  <si>
    <t>Ø76*16</t>
  </si>
  <si>
    <t>Ø76*17,5</t>
  </si>
  <si>
    <t>Ø76*2,9</t>
  </si>
  <si>
    <t>Ø76*20</t>
  </si>
  <si>
    <t>Ø88,9*3,2</t>
  </si>
  <si>
    <t>Ø88,9*3,6</t>
  </si>
  <si>
    <t>Ø88,9*4,0</t>
  </si>
  <si>
    <t>Ø88,9*4,5</t>
  </si>
  <si>
    <t>Ø88,9*5</t>
  </si>
  <si>
    <t>Ø88,9*5,6</t>
  </si>
  <si>
    <t>Ø88,9*6,3</t>
  </si>
  <si>
    <t>Ø88,9*7,1</t>
  </si>
  <si>
    <t>Ø88,9*8,0</t>
  </si>
  <si>
    <t>Ø88,9*8,8</t>
  </si>
  <si>
    <t>Ø88,9*10</t>
  </si>
  <si>
    <t>Ø88,9*11</t>
  </si>
  <si>
    <t>Ø88,9*12,5</t>
  </si>
  <si>
    <t>Ø88,9*14,2</t>
  </si>
  <si>
    <t>Ø88,9*16</t>
  </si>
  <si>
    <t>Ø88,9*17,5</t>
  </si>
  <si>
    <t>Ø88,9*20</t>
  </si>
  <si>
    <t>Ø88,9*22,2</t>
  </si>
  <si>
    <t>Ø88,9*25</t>
  </si>
  <si>
    <t>Ø114,3*3,6</t>
  </si>
  <si>
    <t>Ø114,3*4,0</t>
  </si>
  <si>
    <t>Ø114,3*4,5</t>
  </si>
  <si>
    <t>Ø114,3*5</t>
  </si>
  <si>
    <t>Ø114,3*5,6</t>
  </si>
  <si>
    <t>Ø114,3*6,3</t>
  </si>
  <si>
    <t>Ø114,3*7,1</t>
  </si>
  <si>
    <t>Ø114,3*8,0</t>
  </si>
  <si>
    <t>Ø114,3*8,8</t>
  </si>
  <si>
    <t>Ø114,3*10</t>
  </si>
  <si>
    <t>Ø114,3*11</t>
  </si>
  <si>
    <t>Ø114,3*12,5</t>
  </si>
  <si>
    <t>Ø114,3*14,2</t>
  </si>
  <si>
    <t>Ø114,3*16</t>
  </si>
  <si>
    <t>Ø114,3*17,5</t>
  </si>
  <si>
    <t>Ø114,3*20</t>
  </si>
  <si>
    <t>Ø114,3*22,2</t>
  </si>
  <si>
    <t>Ø114,3*25</t>
  </si>
  <si>
    <t>Ø114,3*28</t>
  </si>
  <si>
    <t>Ø114,3*30</t>
  </si>
  <si>
    <t>Ø114,3*32</t>
  </si>
  <si>
    <t>Ø114,3*36</t>
  </si>
  <si>
    <t>Ø139,7*4,0</t>
  </si>
  <si>
    <t>Ø139,7*4,5</t>
  </si>
  <si>
    <t>Ø139,7*5</t>
  </si>
  <si>
    <t>Ø139,7*5,6</t>
  </si>
  <si>
    <t>Ø139,7*6,3</t>
  </si>
  <si>
    <t>Ø139,7*7,1</t>
  </si>
  <si>
    <t>Ø139,7*8,0</t>
  </si>
  <si>
    <t>Ø139,7*8,8</t>
  </si>
  <si>
    <t>Ø139,7*10</t>
  </si>
  <si>
    <t>Ø139,7*11</t>
  </si>
  <si>
    <t>Ø139,7*12,5</t>
  </si>
  <si>
    <t>Ø139,7*14,2</t>
  </si>
  <si>
    <t>Ø139,7*16</t>
  </si>
  <si>
    <t>Ø139,7*17,5</t>
  </si>
  <si>
    <t>Ø139,7*20</t>
  </si>
  <si>
    <t>Ø139,7*22,2</t>
  </si>
  <si>
    <t>Ø139,7*25</t>
  </si>
  <si>
    <t>Ø139,7*28</t>
  </si>
  <si>
    <t>Ø139,7*30</t>
  </si>
  <si>
    <t>Ø139,7*32</t>
  </si>
  <si>
    <t>Ø139,7*36</t>
  </si>
  <si>
    <t>Ø139,7*40</t>
  </si>
  <si>
    <t>Ø139,7*45</t>
  </si>
  <si>
    <t>Ø168,3*4,5</t>
  </si>
  <si>
    <t>Ø168,3*5</t>
  </si>
  <si>
    <t>Ø168,3*5,6</t>
  </si>
  <si>
    <t>Ø168,3*6,3</t>
  </si>
  <si>
    <t>Ø168,3*7,1</t>
  </si>
  <si>
    <t>Ø168,3*8,0</t>
  </si>
  <si>
    <t>Ø168,3*8,8</t>
  </si>
  <si>
    <t>Ø168,3*10</t>
  </si>
  <si>
    <t>Ø168,3*11</t>
  </si>
  <si>
    <t>Ø168,3*12,5</t>
  </si>
  <si>
    <t>Ø168,3*14,2</t>
  </si>
  <si>
    <t>Ø168,3*16</t>
  </si>
  <si>
    <t>Ø168,3*17,5</t>
  </si>
  <si>
    <t>Ø168,3*20</t>
  </si>
  <si>
    <t>Ø168,3*22,2</t>
  </si>
  <si>
    <t>Ø168,3*25</t>
  </si>
  <si>
    <t>Ø168,3*28</t>
  </si>
  <si>
    <t>Ø168,3*30</t>
  </si>
  <si>
    <t>Ø168,3*32</t>
  </si>
  <si>
    <t>Ø168,3*36</t>
  </si>
  <si>
    <t>Ø168,3*40</t>
  </si>
  <si>
    <t>Ø168,3*45</t>
  </si>
  <si>
    <t>Ø168,3*50</t>
  </si>
  <si>
    <t>Ø168,3*55</t>
  </si>
  <si>
    <t>Ø219*7,1</t>
  </si>
  <si>
    <t>Ø219*8,0</t>
  </si>
  <si>
    <t>Ø219*8,8</t>
  </si>
  <si>
    <t>Ø219*10</t>
  </si>
  <si>
    <t>Ø219*11</t>
  </si>
  <si>
    <t>Ø219*12,5</t>
  </si>
  <si>
    <t>Ø219*14,2</t>
  </si>
  <si>
    <t>Ø219*16</t>
  </si>
  <si>
    <t>Ø219*17,5</t>
  </si>
  <si>
    <t>Ø219*20</t>
  </si>
  <si>
    <t>Ø219*22,2</t>
  </si>
  <si>
    <t>Ø219*25</t>
  </si>
  <si>
    <t>Ø219*28</t>
  </si>
  <si>
    <t>Ø219*30</t>
  </si>
  <si>
    <t>Ø219*32</t>
  </si>
  <si>
    <t>Ø219*36</t>
  </si>
  <si>
    <t>Ø219*40</t>
  </si>
  <si>
    <t>Ø219*45</t>
  </si>
  <si>
    <t>Ø219*50</t>
  </si>
  <si>
    <t>Ø219*55</t>
  </si>
  <si>
    <t>Ø219*6,3</t>
  </si>
  <si>
    <t>Ø219*65</t>
  </si>
  <si>
    <t>Ø219*60</t>
  </si>
  <si>
    <t>Ø273*6,3</t>
  </si>
  <si>
    <t>Ø273*7,1</t>
  </si>
  <si>
    <t>Ø273*8,0</t>
  </si>
  <si>
    <t>Ø273*8,8</t>
  </si>
  <si>
    <t>Ø273*10</t>
  </si>
  <si>
    <t>Ø273*11</t>
  </si>
  <si>
    <t>Ø273*12,5</t>
  </si>
  <si>
    <t>Ø273*14,2</t>
  </si>
  <si>
    <t>Ø273*16</t>
  </si>
  <si>
    <t>Ø273*17,5</t>
  </si>
  <si>
    <t>Ø273*20</t>
  </si>
  <si>
    <t>Ø273*22,2</t>
  </si>
  <si>
    <t>Ø273*25</t>
  </si>
  <si>
    <t>Ø273*28</t>
  </si>
  <si>
    <t>Ø273*30</t>
  </si>
  <si>
    <t>Ø273*32</t>
  </si>
  <si>
    <t>Ø273*36</t>
  </si>
  <si>
    <t>Ø273*40</t>
  </si>
  <si>
    <t>Ø273*45</t>
  </si>
  <si>
    <t>Ø273*50</t>
  </si>
  <si>
    <t>Ø273*55</t>
  </si>
  <si>
    <t>Ø273*60</t>
  </si>
  <si>
    <t>Ø273*65</t>
  </si>
  <si>
    <t>Geniş başlıklı</t>
  </si>
  <si>
    <t xml:space="preserve">Avrupa kesit profiller </t>
  </si>
  <si>
    <t>HE A, HE B et HE M 100 - 1000</t>
  </si>
  <si>
    <t>Euronorm 53-62</t>
  </si>
  <si>
    <t>HE AA 100 - 1000</t>
  </si>
  <si>
    <t>HL 1000 / 1100</t>
  </si>
  <si>
    <t>KESİT</t>
  </si>
  <si>
    <t>STATİK DEĞERLER</t>
  </si>
  <si>
    <t>SINIFLAMA</t>
  </si>
  <si>
    <t>ÖLÇÜLER</t>
  </si>
  <si>
    <t>ALANI</t>
  </si>
  <si>
    <t>TASARIM ÖLÇÜLERİ</t>
  </si>
  <si>
    <t>YÜZEY ALANI</t>
  </si>
  <si>
    <t>KUVVETLİ EKSEN y-y</t>
  </si>
  <si>
    <t>ZAYIF EKSEN z-z</t>
  </si>
  <si>
    <t>ENV 1993 1-1</t>
  </si>
  <si>
    <t>I</t>
  </si>
  <si>
    <r>
      <t>t</t>
    </r>
    <r>
      <rPr>
        <vertAlign val="subscript"/>
        <sz val="12"/>
        <rFont val="Arial"/>
        <family val="2"/>
        <charset val="162"/>
      </rPr>
      <t>w</t>
    </r>
  </si>
  <si>
    <r>
      <t>t</t>
    </r>
    <r>
      <rPr>
        <vertAlign val="subscript"/>
        <sz val="12"/>
        <rFont val="Arial"/>
        <family val="2"/>
        <charset val="162"/>
      </rPr>
      <t>f</t>
    </r>
  </si>
  <si>
    <t>r</t>
  </si>
  <si>
    <r>
      <t>h</t>
    </r>
    <r>
      <rPr>
        <vertAlign val="subscript"/>
        <sz val="12"/>
        <rFont val="Arial"/>
        <family val="2"/>
        <charset val="162"/>
      </rPr>
      <t>i</t>
    </r>
  </si>
  <si>
    <t>Ø</t>
  </si>
  <si>
    <r>
      <t>p</t>
    </r>
    <r>
      <rPr>
        <vertAlign val="subscript"/>
        <sz val="12"/>
        <rFont val="Arial"/>
        <family val="2"/>
        <charset val="162"/>
      </rPr>
      <t>min</t>
    </r>
  </si>
  <si>
    <r>
      <t>p</t>
    </r>
    <r>
      <rPr>
        <vertAlign val="subscript"/>
        <sz val="12"/>
        <rFont val="Arial"/>
        <family val="2"/>
        <charset val="162"/>
      </rPr>
      <t>max</t>
    </r>
  </si>
  <si>
    <r>
      <t>A</t>
    </r>
    <r>
      <rPr>
        <vertAlign val="subscript"/>
        <sz val="12"/>
        <rFont val="Arial"/>
        <family val="2"/>
        <charset val="162"/>
      </rPr>
      <t>L</t>
    </r>
  </si>
  <si>
    <r>
      <t>A</t>
    </r>
    <r>
      <rPr>
        <vertAlign val="subscript"/>
        <sz val="12"/>
        <rFont val="Arial"/>
        <family val="2"/>
        <charset val="162"/>
      </rPr>
      <t>G</t>
    </r>
  </si>
  <si>
    <r>
      <t>I</t>
    </r>
    <r>
      <rPr>
        <vertAlign val="subscript"/>
        <sz val="12"/>
        <rFont val="Arial"/>
        <family val="2"/>
        <charset val="162"/>
      </rPr>
      <t>y</t>
    </r>
  </si>
  <si>
    <r>
      <t>W</t>
    </r>
    <r>
      <rPr>
        <vertAlign val="subscript"/>
        <sz val="12"/>
        <rFont val="Arial"/>
        <family val="2"/>
        <charset val="162"/>
      </rPr>
      <t>el.y</t>
    </r>
  </si>
  <si>
    <r>
      <t>W</t>
    </r>
    <r>
      <rPr>
        <vertAlign val="subscript"/>
        <sz val="12"/>
        <rFont val="Arial"/>
        <family val="2"/>
        <charset val="162"/>
      </rPr>
      <t>pl.y</t>
    </r>
  </si>
  <si>
    <r>
      <t>i</t>
    </r>
    <r>
      <rPr>
        <vertAlign val="subscript"/>
        <sz val="12"/>
        <rFont val="Arial"/>
        <family val="2"/>
        <charset val="162"/>
      </rPr>
      <t>y</t>
    </r>
  </si>
  <si>
    <r>
      <t>A</t>
    </r>
    <r>
      <rPr>
        <vertAlign val="subscript"/>
        <sz val="12"/>
        <rFont val="Arial"/>
        <family val="2"/>
        <charset val="162"/>
      </rPr>
      <t>vz</t>
    </r>
  </si>
  <si>
    <r>
      <t>I</t>
    </r>
    <r>
      <rPr>
        <vertAlign val="subscript"/>
        <sz val="12"/>
        <rFont val="Arial"/>
        <family val="2"/>
        <charset val="162"/>
      </rPr>
      <t>z</t>
    </r>
  </si>
  <si>
    <r>
      <t>W</t>
    </r>
    <r>
      <rPr>
        <vertAlign val="subscript"/>
        <sz val="12"/>
        <rFont val="Arial"/>
        <family val="2"/>
        <charset val="162"/>
      </rPr>
      <t>el.z</t>
    </r>
  </si>
  <si>
    <r>
      <t>W</t>
    </r>
    <r>
      <rPr>
        <vertAlign val="subscript"/>
        <sz val="12"/>
        <rFont val="Arial"/>
        <family val="2"/>
        <charset val="162"/>
      </rPr>
      <t>pl.z</t>
    </r>
  </si>
  <si>
    <r>
      <t xml:space="preserve"> i</t>
    </r>
    <r>
      <rPr>
        <vertAlign val="subscript"/>
        <sz val="12"/>
        <rFont val="Arial"/>
        <family val="2"/>
        <charset val="162"/>
      </rPr>
      <t>z</t>
    </r>
  </si>
  <si>
    <r>
      <t>s</t>
    </r>
    <r>
      <rPr>
        <vertAlign val="subscript"/>
        <sz val="12"/>
        <rFont val="Arial"/>
        <family val="2"/>
        <charset val="162"/>
      </rPr>
      <t>s</t>
    </r>
  </si>
  <si>
    <r>
      <t>I</t>
    </r>
    <r>
      <rPr>
        <vertAlign val="subscript"/>
        <sz val="12"/>
        <color indexed="8"/>
        <rFont val="Arial"/>
        <family val="2"/>
        <charset val="162"/>
      </rPr>
      <t>t</t>
    </r>
  </si>
  <si>
    <r>
      <t>I</t>
    </r>
    <r>
      <rPr>
        <vertAlign val="subscript"/>
        <sz val="12"/>
        <color indexed="8"/>
        <rFont val="Arial"/>
        <family val="2"/>
        <charset val="162"/>
      </rPr>
      <t>w</t>
    </r>
    <r>
      <rPr>
        <sz val="7"/>
        <color indexed="8"/>
        <rFont val="Arial"/>
        <family val="2"/>
        <charset val="162"/>
      </rPr>
      <t>x10</t>
    </r>
    <r>
      <rPr>
        <vertAlign val="superscript"/>
        <sz val="7"/>
        <color indexed="8"/>
        <rFont val="Arial"/>
        <family val="2"/>
        <charset val="162"/>
      </rPr>
      <t>-</t>
    </r>
    <r>
      <rPr>
        <vertAlign val="superscript"/>
        <sz val="8"/>
        <color indexed="8"/>
        <rFont val="Arial"/>
        <family val="2"/>
        <charset val="162"/>
      </rPr>
      <t>3</t>
    </r>
  </si>
  <si>
    <t>S</t>
  </si>
  <si>
    <t xml:space="preserve"> mm</t>
  </si>
  <si>
    <r>
      <t>cm</t>
    </r>
    <r>
      <rPr>
        <vertAlign val="superscript"/>
        <sz val="9"/>
        <rFont val="Arial"/>
        <family val="2"/>
        <charset val="162"/>
      </rPr>
      <t>2</t>
    </r>
  </si>
  <si>
    <r>
      <t>m</t>
    </r>
    <r>
      <rPr>
        <vertAlign val="superscript"/>
        <sz val="8"/>
        <rFont val="Arial"/>
        <family val="2"/>
        <charset val="162"/>
      </rPr>
      <t>2</t>
    </r>
    <r>
      <rPr>
        <sz val="8"/>
        <rFont val="Arial"/>
        <family val="2"/>
        <charset val="162"/>
      </rPr>
      <t>/m</t>
    </r>
  </si>
  <si>
    <r>
      <t xml:space="preserve"> m</t>
    </r>
    <r>
      <rPr>
        <vertAlign val="superscript"/>
        <sz val="8"/>
        <rFont val="Arial"/>
        <family val="2"/>
        <charset val="162"/>
      </rPr>
      <t>2</t>
    </r>
    <r>
      <rPr>
        <sz val="8"/>
        <rFont val="Arial"/>
        <family val="2"/>
        <charset val="162"/>
      </rPr>
      <t>/t</t>
    </r>
  </si>
  <si>
    <r>
      <t>cm</t>
    </r>
    <r>
      <rPr>
        <vertAlign val="superscript"/>
        <sz val="9"/>
        <rFont val="Arial"/>
        <family val="2"/>
        <charset val="162"/>
      </rPr>
      <t>4</t>
    </r>
    <r>
      <rPr>
        <vertAlign val="superscript"/>
        <sz val="12"/>
        <rFont val="Arial"/>
        <family val="2"/>
        <charset val="162"/>
      </rPr>
      <t xml:space="preserve"> </t>
    </r>
  </si>
  <si>
    <r>
      <t>cm</t>
    </r>
    <r>
      <rPr>
        <vertAlign val="superscript"/>
        <sz val="9"/>
        <rFont val="Arial"/>
        <family val="2"/>
        <charset val="162"/>
      </rPr>
      <t>3</t>
    </r>
  </si>
  <si>
    <r>
      <t>cm</t>
    </r>
    <r>
      <rPr>
        <vertAlign val="superscript"/>
        <sz val="8"/>
        <rFont val="Arial"/>
        <family val="2"/>
        <charset val="162"/>
      </rPr>
      <t>2</t>
    </r>
  </si>
  <si>
    <r>
      <t>cm</t>
    </r>
    <r>
      <rPr>
        <vertAlign val="superscript"/>
        <sz val="8"/>
        <rFont val="Arial"/>
        <family val="2"/>
        <charset val="162"/>
      </rPr>
      <t>4</t>
    </r>
  </si>
  <si>
    <r>
      <t>cm</t>
    </r>
    <r>
      <rPr>
        <vertAlign val="superscript"/>
        <sz val="8"/>
        <rFont val="Arial"/>
        <family val="2"/>
        <charset val="162"/>
      </rPr>
      <t>3</t>
    </r>
  </si>
  <si>
    <r>
      <t>cm</t>
    </r>
    <r>
      <rPr>
        <vertAlign val="superscript"/>
        <sz val="8"/>
        <color indexed="8"/>
        <rFont val="Arial"/>
        <family val="2"/>
        <charset val="162"/>
      </rPr>
      <t>4</t>
    </r>
  </si>
  <si>
    <r>
      <t>cm</t>
    </r>
    <r>
      <rPr>
        <vertAlign val="superscript"/>
        <sz val="8"/>
        <color indexed="8"/>
        <rFont val="Arial"/>
        <family val="2"/>
        <charset val="162"/>
      </rPr>
      <t>6</t>
    </r>
  </si>
  <si>
    <t>EĞİLME</t>
  </si>
  <si>
    <t>BASINÇ</t>
  </si>
  <si>
    <t>T</t>
  </si>
  <si>
    <t>R</t>
  </si>
  <si>
    <t>HE 100 AA</t>
  </si>
  <si>
    <t>M10</t>
  </si>
  <si>
    <t>HE 100 A</t>
  </si>
  <si>
    <t>HE 100 B</t>
  </si>
  <si>
    <t>HE 100 M</t>
  </si>
  <si>
    <t>HE 120 AA</t>
  </si>
  <si>
    <t>M12</t>
  </si>
  <si>
    <t>HE 120 A</t>
  </si>
  <si>
    <t>HE 120 B</t>
  </si>
  <si>
    <t>HE 120 M</t>
  </si>
  <si>
    <t>HE 140 AA</t>
  </si>
  <si>
    <t>M16</t>
  </si>
  <si>
    <t>HE 140 A</t>
  </si>
  <si>
    <t>HE 140 B</t>
  </si>
  <si>
    <t>HE 140 M</t>
  </si>
  <si>
    <t>HE 160 AA</t>
  </si>
  <si>
    <t>M20</t>
  </si>
  <si>
    <t>HE 160 A</t>
  </si>
  <si>
    <t>HE 160 B</t>
  </si>
  <si>
    <t>HE 160 M</t>
  </si>
  <si>
    <t>HE 180 AA</t>
  </si>
  <si>
    <t>M24</t>
  </si>
  <si>
    <t>HE 180 A</t>
  </si>
  <si>
    <t>HE 180 B</t>
  </si>
  <si>
    <t>HE 180 M</t>
  </si>
  <si>
    <t>HE 200 AA</t>
  </si>
  <si>
    <t>M27</t>
  </si>
  <si>
    <t>HE 200 A</t>
  </si>
  <si>
    <t>HE 200 B</t>
  </si>
  <si>
    <t>HE 200 M</t>
  </si>
  <si>
    <t>HE 220 AA</t>
  </si>
  <si>
    <t>HE 220 A</t>
  </si>
  <si>
    <t>HE 220 B</t>
  </si>
  <si>
    <t>HE 220 M</t>
  </si>
  <si>
    <t>HE 240 AA</t>
  </si>
  <si>
    <t>HE 240 A</t>
  </si>
  <si>
    <t>HE 240 B</t>
  </si>
  <si>
    <t>HE 240 M</t>
  </si>
  <si>
    <t>HE 260 AA</t>
  </si>
  <si>
    <t>HE 260 A</t>
  </si>
  <si>
    <t>HI</t>
  </si>
  <si>
    <t>HE 260 B</t>
  </si>
  <si>
    <t>HE 260 M</t>
  </si>
  <si>
    <t>HE 280 AA</t>
  </si>
  <si>
    <t>HE 280 A</t>
  </si>
  <si>
    <t>HE 280 B</t>
  </si>
  <si>
    <t>HE 280 M</t>
  </si>
  <si>
    <t>HE 300 AA</t>
  </si>
  <si>
    <t>HE 300 A</t>
  </si>
  <si>
    <t>HE 300 B</t>
  </si>
  <si>
    <t>HE 300 M</t>
  </si>
  <si>
    <t>HE 320 AA</t>
  </si>
  <si>
    <t>HE 320 A</t>
  </si>
  <si>
    <t>HE 320 B</t>
  </si>
  <si>
    <t>HE 320 M</t>
  </si>
  <si>
    <t>HE 340 AA</t>
  </si>
  <si>
    <t>HE 340 A</t>
  </si>
  <si>
    <t>HE 340 B</t>
  </si>
  <si>
    <t>HE 340 M</t>
  </si>
  <si>
    <t>HE 360 AA</t>
  </si>
  <si>
    <t>HE 360 A</t>
  </si>
  <si>
    <t>HE 360 B</t>
  </si>
  <si>
    <t>HE 360 M</t>
  </si>
  <si>
    <t>HE 400 AA</t>
  </si>
  <si>
    <t>HE 400 A</t>
  </si>
  <si>
    <t>HE 400 B</t>
  </si>
  <si>
    <t>HE 400 M</t>
  </si>
  <si>
    <t>HE 450 AA</t>
  </si>
  <si>
    <t>HE 450 A</t>
  </si>
  <si>
    <t>HE 450 B</t>
  </si>
  <si>
    <t>HE 450 M</t>
  </si>
  <si>
    <t>HE 500 AA</t>
  </si>
  <si>
    <t>HE 500 A</t>
  </si>
  <si>
    <t>HE 500 B</t>
  </si>
  <si>
    <t>HE 500 M</t>
  </si>
  <si>
    <t>HE 550 AA</t>
  </si>
  <si>
    <t>HE 550 A</t>
  </si>
  <si>
    <t>HE 550 B</t>
  </si>
  <si>
    <t>HE 550 M</t>
  </si>
  <si>
    <t>HE 600 AA</t>
  </si>
  <si>
    <t>HE 600 A</t>
  </si>
  <si>
    <t>HE 600 B</t>
  </si>
  <si>
    <t>HE 600 M</t>
  </si>
  <si>
    <t>HE 600 x 337</t>
  </si>
  <si>
    <t>HE 600 x 399</t>
  </si>
  <si>
    <t>HE 650 AA</t>
  </si>
  <si>
    <t>HE 650 A</t>
  </si>
  <si>
    <t>HE 650 B</t>
  </si>
  <si>
    <t>HE 650 M</t>
  </si>
  <si>
    <t>HE 650 x 343</t>
  </si>
  <si>
    <t>HE 650 x 407</t>
  </si>
  <si>
    <t>HE 700 AA</t>
  </si>
  <si>
    <t>HE 700 A</t>
  </si>
  <si>
    <t>HE 700 B</t>
  </si>
  <si>
    <t>HE 700 M</t>
  </si>
  <si>
    <t>HE 700 x 352</t>
  </si>
  <si>
    <t>HE 700 x 418</t>
  </si>
  <si>
    <t>HE 800 AA</t>
  </si>
  <si>
    <t>HE 800 A</t>
  </si>
  <si>
    <t>HE 800 B</t>
  </si>
  <si>
    <t>HE 800 M</t>
  </si>
  <si>
    <t>HE 800 x 373</t>
  </si>
  <si>
    <t>HE 800 x 444</t>
  </si>
  <si>
    <t>HE 900 AA</t>
  </si>
  <si>
    <t>HE 900 A</t>
  </si>
  <si>
    <t>HE 900 B</t>
  </si>
  <si>
    <t>HE 900 M</t>
  </si>
  <si>
    <t>HE 900 x 391</t>
  </si>
  <si>
    <t>HE 900 x 466</t>
  </si>
  <si>
    <t>HE 1000 AA</t>
  </si>
  <si>
    <t>HE 1000 A</t>
  </si>
  <si>
    <t>HE 1000 B</t>
  </si>
  <si>
    <t>HE 1000 M</t>
  </si>
  <si>
    <t>HE 1000 x 393</t>
  </si>
  <si>
    <t>HE 1000 x 409</t>
  </si>
  <si>
    <t>HE 1000 x 488</t>
  </si>
  <si>
    <t>HE 1000 x 579</t>
  </si>
  <si>
    <t>HL 920 x 342</t>
  </si>
  <si>
    <t>HL 920 x 365</t>
  </si>
  <si>
    <t>HL 920 x 387</t>
  </si>
  <si>
    <t>HL 920 x 417</t>
  </si>
  <si>
    <t>HL 920 x 446</t>
  </si>
  <si>
    <t>HL 920 x 488</t>
  </si>
  <si>
    <t>HL 920 x 534</t>
  </si>
  <si>
    <t>HL 920 x 585</t>
  </si>
  <si>
    <t>HL 920 x 653</t>
  </si>
  <si>
    <t>HL 920 x 784</t>
  </si>
  <si>
    <t>HL 920 x 967</t>
  </si>
  <si>
    <t>HL 1000 x 296</t>
  </si>
  <si>
    <t>HL 1000 A</t>
  </si>
  <si>
    <t>HL 1000 B</t>
  </si>
  <si>
    <t>HL 1000 M</t>
  </si>
  <si>
    <t>HL 1000 x 477</t>
  </si>
  <si>
    <t>HL 1000 x 554</t>
  </si>
  <si>
    <t>HL 1000 x 642</t>
  </si>
  <si>
    <t>HL 1000 x 748</t>
  </si>
  <si>
    <t>HL 1000 x 883</t>
  </si>
  <si>
    <t>HL 1100 A</t>
  </si>
  <si>
    <t>HL 1100 B</t>
  </si>
  <si>
    <t>HL 1100 M</t>
  </si>
  <si>
    <t>HL 1100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</si>
</sst>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00"/>
    <numFmt numFmtId="165" formatCode="#,##0.000\ &quot;Kg/dm3&quot;"/>
    <numFmt numFmtId="166" formatCode="0.000"/>
    <numFmt numFmtId="167" formatCode="#,##0.0"/>
    <numFmt numFmtId="168" formatCode="#,###\ \x"/>
    <numFmt numFmtId="169" formatCode="0.0"/>
    <numFmt numFmtId="170" formatCode="#,###.00&quot; kg &quot;"/>
    <numFmt numFmtId="171" formatCode="_-* #,##0.00_-;\-* #,##0.00_-;_-* &quot;-&quot;??_-;_-@_-"/>
  </numFmts>
  <fonts count="62">
    <font>
      <sz val="10"/>
      <name val="Arial Tur"/>
      <charset val="162"/>
    </font>
    <font>
      <sz val="10"/>
      <name val="Arial Tur"/>
      <charset val="162"/>
    </font>
    <font>
      <sz val="8"/>
      <name val="Arial Tur"/>
      <charset val="162"/>
    </font>
    <font>
      <sz val="12"/>
      <color indexed="12"/>
      <name val="Arial Tur"/>
      <charset val="162"/>
    </font>
    <font>
      <b/>
      <sz val="10"/>
      <name val="Arial Tur"/>
      <charset val="162"/>
    </font>
    <font>
      <sz val="10"/>
      <name val="MS Sans Serif"/>
      <family val="2"/>
      <charset val="162"/>
    </font>
    <font>
      <sz val="10"/>
      <color indexed="10"/>
      <name val="Arial Tur"/>
      <charset val="162"/>
    </font>
    <font>
      <b/>
      <sz val="9"/>
      <name val="Arial"/>
      <family val="2"/>
      <charset val="162"/>
    </font>
    <font>
      <u/>
      <sz val="10"/>
      <name val="Arial Tur"/>
      <charset val="162"/>
    </font>
    <font>
      <sz val="8"/>
      <name val="Arial Narrow"/>
      <family val="2"/>
      <charset val="162"/>
    </font>
    <font>
      <sz val="6"/>
      <name val="Arial Narrow"/>
      <family val="2"/>
      <charset val="162"/>
    </font>
    <font>
      <sz val="9"/>
      <name val="Arial Tur"/>
      <charset val="162"/>
    </font>
    <font>
      <b/>
      <sz val="9"/>
      <name val="Arial Tur"/>
      <charset val="162"/>
    </font>
    <font>
      <b/>
      <sz val="8"/>
      <name val="Arial"/>
      <family val="2"/>
      <charset val="162"/>
    </font>
    <font>
      <sz val="8"/>
      <name val="Arial"/>
      <family val="2"/>
      <charset val="162"/>
    </font>
    <font>
      <b/>
      <u/>
      <sz val="8"/>
      <name val="Arial"/>
      <family val="2"/>
      <charset val="162"/>
    </font>
    <font>
      <b/>
      <sz val="8"/>
      <name val="Arial Tur"/>
      <charset val="162"/>
    </font>
    <font>
      <b/>
      <sz val="10"/>
      <name val="Arial Narrow"/>
      <family val="2"/>
      <charset val="162"/>
    </font>
    <font>
      <sz val="8"/>
      <color indexed="81"/>
      <name val="Tahoma"/>
      <family val="2"/>
      <charset val="162"/>
    </font>
    <font>
      <b/>
      <sz val="8"/>
      <color indexed="81"/>
      <name val="Tahoma"/>
      <family val="2"/>
      <charset val="162"/>
    </font>
    <font>
      <b/>
      <sz val="10"/>
      <name val="Arial"/>
      <family val="2"/>
      <charset val="162"/>
    </font>
    <font>
      <b/>
      <sz val="12"/>
      <name val="Arial Tur"/>
      <charset val="162"/>
    </font>
    <font>
      <b/>
      <sz val="7"/>
      <name val="Arial Tur"/>
      <charset val="162"/>
    </font>
    <font>
      <sz val="14"/>
      <name val="Arial Narrow"/>
      <family val="2"/>
      <charset val="162"/>
    </font>
    <font>
      <sz val="10"/>
      <name val="Arial Narrow"/>
      <family val="2"/>
      <charset val="162"/>
    </font>
    <font>
      <b/>
      <sz val="14"/>
      <name val="Arial Tur"/>
      <charset val="162"/>
    </font>
    <font>
      <sz val="10"/>
      <name val="Arial"/>
      <family val="2"/>
      <charset val="162"/>
    </font>
    <font>
      <sz val="11"/>
      <name val="Arial"/>
      <family val="2"/>
      <charset val="162"/>
    </font>
    <font>
      <sz val="11"/>
      <name val="Arial Tur"/>
      <charset val="162"/>
    </font>
    <font>
      <sz val="14"/>
      <name val="Arial Tur"/>
      <charset val="162"/>
    </font>
    <font>
      <u/>
      <sz val="10"/>
      <color theme="10"/>
      <name val="Arial Tur"/>
      <charset val="162"/>
    </font>
    <font>
      <sz val="12"/>
      <color rgb="FF000000"/>
      <name val="Arial Narrow"/>
      <family val="2"/>
      <charset val="162"/>
    </font>
    <font>
      <sz val="16"/>
      <color rgb="FFFFFFFF"/>
      <name val="Arial"/>
      <family val="2"/>
      <charset val="162"/>
    </font>
    <font>
      <sz val="12"/>
      <color rgb="FFFFFFFF"/>
      <name val="Arial Narrow"/>
      <family val="2"/>
      <charset val="162"/>
    </font>
    <font>
      <b/>
      <sz val="12"/>
      <color rgb="FF000000"/>
      <name val="Arial Narrow"/>
      <family val="2"/>
      <charset val="162"/>
    </font>
    <font>
      <sz val="11"/>
      <color theme="1"/>
      <name val="Arial Narrow"/>
      <family val="2"/>
      <charset val="162"/>
    </font>
    <font>
      <b/>
      <sz val="14"/>
      <color theme="1"/>
      <name val="Arial Narrow"/>
      <family val="2"/>
      <charset val="162"/>
    </font>
    <font>
      <sz val="12"/>
      <color theme="1"/>
      <name val="Arial Narrow"/>
      <family val="2"/>
      <charset val="162"/>
    </font>
    <font>
      <b/>
      <sz val="12"/>
      <color rgb="FFFFFFFF"/>
      <name val="Arial Narrow"/>
      <family val="2"/>
      <charset val="162"/>
    </font>
    <font>
      <b/>
      <sz val="14"/>
      <color rgb="FFFFFFFF"/>
      <name val="Arial Narrow"/>
      <family val="2"/>
      <charset val="162"/>
    </font>
    <font>
      <u/>
      <sz val="14"/>
      <color theme="10"/>
      <name val="Arial Tur"/>
      <charset val="162"/>
    </font>
    <font>
      <b/>
      <sz val="12"/>
      <color rgb="FF333333"/>
      <name val="Arial Narrow"/>
      <family val="2"/>
      <charset val="162"/>
    </font>
    <font>
      <sz val="9"/>
      <name val="Geneva"/>
      <charset val="162"/>
    </font>
    <font>
      <sz val="8"/>
      <color indexed="8"/>
      <name val="Arial"/>
      <family val="2"/>
      <charset val="162"/>
    </font>
    <font>
      <b/>
      <sz val="16"/>
      <name val="Arial"/>
      <family val="2"/>
    </font>
    <font>
      <b/>
      <sz val="12"/>
      <name val="Arial"/>
      <family val="2"/>
      <charset val="162"/>
    </font>
    <font>
      <vertAlign val="subscript"/>
      <sz val="12"/>
      <name val="Arial"/>
      <family val="2"/>
      <charset val="162"/>
    </font>
    <font>
      <vertAlign val="subscript"/>
      <sz val="12"/>
      <color indexed="8"/>
      <name val="Arial"/>
      <family val="2"/>
      <charset val="162"/>
    </font>
    <font>
      <sz val="7"/>
      <color indexed="8"/>
      <name val="Arial"/>
      <family val="2"/>
      <charset val="162"/>
    </font>
    <font>
      <vertAlign val="superscript"/>
      <sz val="7"/>
      <color indexed="8"/>
      <name val="Arial"/>
      <family val="2"/>
      <charset val="162"/>
    </font>
    <font>
      <vertAlign val="superscript"/>
      <sz val="8"/>
      <color indexed="8"/>
      <name val="Arial"/>
      <family val="2"/>
      <charset val="162"/>
    </font>
    <font>
      <vertAlign val="superscript"/>
      <sz val="9"/>
      <name val="Arial"/>
      <family val="2"/>
      <charset val="162"/>
    </font>
    <font>
      <vertAlign val="superscript"/>
      <sz val="8"/>
      <name val="Arial"/>
      <family val="2"/>
      <charset val="162"/>
    </font>
    <font>
      <vertAlign val="superscript"/>
      <sz val="12"/>
      <name val="Arial"/>
      <family val="2"/>
      <charset val="162"/>
    </font>
    <font>
      <sz val="9"/>
      <name val="Arial"/>
      <family val="2"/>
      <charset val="162"/>
    </font>
    <font>
      <sz val="10"/>
      <color indexed="8"/>
      <name val="Arial"/>
      <family val="2"/>
      <charset val="162"/>
    </font>
    <font>
      <sz val="7"/>
      <name val="Arial"/>
      <family val="2"/>
      <charset val="162"/>
    </font>
    <font>
      <sz val="7"/>
      <color indexed="10"/>
      <name val="Arial"/>
      <family val="2"/>
      <charset val="162"/>
    </font>
    <font>
      <sz val="8"/>
      <color indexed="10"/>
      <name val="Arial"/>
      <family val="2"/>
      <charset val="162"/>
    </font>
    <font>
      <sz val="8"/>
      <color indexed="11"/>
      <name val="Arial"/>
      <family val="2"/>
      <charset val="162"/>
    </font>
    <font>
      <sz val="6"/>
      <name val="Arial"/>
      <family val="2"/>
      <charset val="162"/>
    </font>
    <font>
      <sz val="6"/>
      <name val="Geneva"/>
      <charset val="162"/>
    </font>
  </fonts>
  <fills count="16">
    <fill>
      <patternFill patternType="none"/>
    </fill>
    <fill>
      <patternFill patternType="gray125"/>
    </fill>
    <fill>
      <patternFill patternType="solid">
        <fgColor indexed="44"/>
        <bgColor indexed="64"/>
      </patternFill>
    </fill>
    <fill>
      <patternFill patternType="solid">
        <fgColor indexed="15"/>
        <bgColor indexed="64"/>
      </patternFill>
    </fill>
    <fill>
      <patternFill patternType="solid">
        <fgColor indexed="9"/>
        <bgColor indexed="64"/>
      </patternFill>
    </fill>
    <fill>
      <patternFill patternType="solid">
        <fgColor rgb="FFCCCCCC"/>
        <bgColor indexed="64"/>
      </patternFill>
    </fill>
    <fill>
      <patternFill patternType="solid">
        <fgColor rgb="FF999999"/>
        <bgColor indexed="64"/>
      </patternFill>
    </fill>
    <fill>
      <patternFill patternType="solid">
        <fgColor rgb="FF800000"/>
        <bgColor indexed="64"/>
      </patternFill>
    </fill>
    <fill>
      <patternFill patternType="solid">
        <fgColor rgb="FFE9E9E9"/>
        <bgColor indexed="64"/>
      </patternFill>
    </fill>
    <fill>
      <patternFill patternType="solid">
        <fgColor theme="6" tint="0.39997558519241921"/>
        <bgColor indexed="64"/>
      </patternFill>
    </fill>
    <fill>
      <patternFill patternType="solid">
        <fgColor theme="2" tint="-0.499984740745262"/>
        <bgColor indexed="64"/>
      </patternFill>
    </fill>
    <fill>
      <patternFill patternType="solid">
        <fgColor rgb="FFFFC000"/>
        <bgColor indexed="64"/>
      </patternFill>
    </fill>
    <fill>
      <patternFill patternType="solid">
        <fgColor theme="0" tint="-0.499984740745262"/>
        <bgColor indexed="64"/>
      </patternFill>
    </fill>
    <fill>
      <patternFill patternType="solid">
        <fgColor rgb="FFFF6600"/>
        <bgColor indexed="64"/>
      </patternFill>
    </fill>
    <fill>
      <patternFill patternType="solid">
        <fgColor rgb="FFFFFF00"/>
        <bgColor indexed="64"/>
      </patternFill>
    </fill>
    <fill>
      <patternFill patternType="solid">
        <fgColor indexed="22"/>
        <bgColor indexed="64"/>
      </patternFill>
    </fill>
  </fills>
  <borders count="149">
    <border>
      <left/>
      <right/>
      <top/>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thin">
        <color indexed="64"/>
      </right>
      <top style="thin">
        <color indexed="64"/>
      </top>
      <bottom style="thin">
        <color indexed="64"/>
      </bottom>
      <diagonal/>
    </border>
    <border>
      <left style="double">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bottom style="double">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right/>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right/>
      <top style="thin">
        <color indexed="64"/>
      </top>
      <bottom/>
      <diagonal/>
    </border>
    <border>
      <left/>
      <right style="double">
        <color indexed="64"/>
      </right>
      <top style="thin">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double">
        <color indexed="64"/>
      </top>
      <bottom/>
      <diagonal/>
    </border>
    <border>
      <left style="double">
        <color indexed="64"/>
      </left>
      <right style="hair">
        <color indexed="64"/>
      </right>
      <top style="double">
        <color indexed="64"/>
      </top>
      <bottom/>
      <diagonal/>
    </border>
    <border>
      <left style="hair">
        <color indexed="64"/>
      </left>
      <right style="double">
        <color indexed="64"/>
      </right>
      <top style="double">
        <color indexed="64"/>
      </top>
      <bottom/>
      <diagonal/>
    </border>
    <border>
      <left style="double">
        <color indexed="64"/>
      </left>
      <right style="hair">
        <color indexed="64"/>
      </right>
      <top/>
      <bottom style="hair">
        <color indexed="64"/>
      </bottom>
      <diagonal/>
    </border>
    <border>
      <left/>
      <right/>
      <top/>
      <bottom style="hair">
        <color indexed="64"/>
      </bottom>
      <diagonal/>
    </border>
    <border>
      <left style="hair">
        <color indexed="64"/>
      </left>
      <right style="double">
        <color indexed="64"/>
      </right>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double">
        <color indexed="64"/>
      </left>
      <right style="double">
        <color indexed="64"/>
      </right>
      <top/>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top style="medium">
        <color indexed="64"/>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style="thin">
        <color indexed="64"/>
      </left>
      <right style="double">
        <color indexed="64"/>
      </right>
      <top/>
      <bottom/>
      <diagonal/>
    </border>
    <border>
      <left style="double">
        <color indexed="64"/>
      </left>
      <right/>
      <top/>
      <bottom style="thin">
        <color indexed="64"/>
      </bottom>
      <diagonal/>
    </border>
    <border>
      <left style="double">
        <color indexed="64"/>
      </left>
      <right style="thin">
        <color indexed="64"/>
      </right>
      <top/>
      <bottom style="double">
        <color indexed="64"/>
      </bottom>
      <diagonal/>
    </border>
    <border>
      <left style="double">
        <color indexed="64"/>
      </left>
      <right/>
      <top style="thin">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top style="double">
        <color indexed="64"/>
      </top>
      <bottom/>
      <diagonal/>
    </border>
    <border>
      <left style="medium">
        <color rgb="FFA6A6A6"/>
      </left>
      <right style="thin">
        <color rgb="FFCCCCCC"/>
      </right>
      <top style="thin">
        <color rgb="FFCCCCCC"/>
      </top>
      <bottom/>
      <diagonal/>
    </border>
    <border>
      <left style="thin">
        <color rgb="FFCCCCCC"/>
      </left>
      <right style="medium">
        <color rgb="FFA6A6A6"/>
      </right>
      <top style="thin">
        <color rgb="FFCCCCCC"/>
      </top>
      <bottom/>
      <diagonal/>
    </border>
    <border>
      <left style="medium">
        <color rgb="FFA6A6A6"/>
      </left>
      <right/>
      <top style="medium">
        <color rgb="FFA6A6A6"/>
      </top>
      <bottom style="thin">
        <color rgb="FFCCCCCC"/>
      </bottom>
      <diagonal/>
    </border>
    <border>
      <left/>
      <right style="medium">
        <color rgb="FFA6A6A6"/>
      </right>
      <top style="medium">
        <color rgb="FFA6A6A6"/>
      </top>
      <bottom style="thin">
        <color rgb="FFCCCCCC"/>
      </bottom>
      <diagonal/>
    </border>
    <border>
      <left/>
      <right/>
      <top/>
      <bottom style="medium">
        <color rgb="FFA6A6A6"/>
      </bottom>
      <diagonal/>
    </border>
    <border>
      <left style="double">
        <color indexed="64"/>
      </left>
      <right style="double">
        <color indexed="64"/>
      </right>
      <top style="double">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right style="hair">
        <color indexed="64"/>
      </right>
      <top/>
      <bottom/>
      <diagonal/>
    </border>
    <border>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hair">
        <color indexed="64"/>
      </right>
      <top/>
      <bottom style="hair">
        <color indexed="64"/>
      </bottom>
      <diagonal/>
    </border>
    <border>
      <left/>
      <right style="double">
        <color indexed="64"/>
      </right>
      <top/>
      <bottom style="hair">
        <color indexed="64"/>
      </bottom>
      <diagonal/>
    </border>
  </borders>
  <cellStyleXfs count="6">
    <xf numFmtId="0" fontId="0" fillId="0" borderId="0"/>
    <xf numFmtId="0" fontId="30" fillId="0" borderId="0" applyNumberFormat="0" applyFill="0" applyBorder="0" applyAlignment="0" applyProtection="0">
      <alignment vertical="top"/>
      <protection locked="0"/>
    </xf>
    <xf numFmtId="0" fontId="26" fillId="0" borderId="0"/>
    <xf numFmtId="0" fontId="5" fillId="0" borderId="0"/>
    <xf numFmtId="0" fontId="42" fillId="0" borderId="0"/>
    <xf numFmtId="171" fontId="42" fillId="0" borderId="0" applyFont="0" applyFill="0" applyBorder="0" applyAlignment="0" applyProtection="0"/>
  </cellStyleXfs>
  <cellXfs count="740">
    <xf numFmtId="0" fontId="0" fillId="0" borderId="0" xfId="0"/>
    <xf numFmtId="0" fontId="0" fillId="0" borderId="0" xfId="0" applyAlignment="1">
      <alignment horizontal="center"/>
    </xf>
    <xf numFmtId="0" fontId="0" fillId="0" borderId="1" xfId="0" applyBorder="1" applyAlignment="1">
      <alignment horizontal="center"/>
    </xf>
    <xf numFmtId="0" fontId="0" fillId="0" borderId="2" xfId="0" applyBorder="1" applyAlignment="1">
      <alignment horizontal="center"/>
    </xf>
    <xf numFmtId="165" fontId="3" fillId="0" borderId="3" xfId="0" applyNumberFormat="1" applyFont="1" applyBorder="1" applyAlignment="1">
      <alignment horizontal="center" vertical="center" wrapText="1"/>
    </xf>
    <xf numFmtId="0" fontId="3" fillId="0" borderId="1" xfId="0" quotePrefix="1" applyFont="1" applyBorder="1" applyAlignment="1">
      <alignment horizontal="center"/>
    </xf>
    <xf numFmtId="0" fontId="3" fillId="0" borderId="2" xfId="0" quotePrefix="1" applyFont="1" applyBorder="1" applyAlignment="1">
      <alignment horizontal="center"/>
    </xf>
    <xf numFmtId="166" fontId="0" fillId="0" borderId="1" xfId="0" applyNumberFormat="1" applyBorder="1" applyAlignment="1">
      <alignment horizontal="center"/>
    </xf>
    <xf numFmtId="1" fontId="0" fillId="0" borderId="2" xfId="0" applyNumberFormat="1" applyBorder="1" applyAlignment="1">
      <alignment horizontal="center"/>
    </xf>
    <xf numFmtId="0" fontId="0" fillId="0" borderId="4" xfId="0" applyBorder="1" applyAlignment="1">
      <alignment horizontal="center"/>
    </xf>
    <xf numFmtId="166" fontId="0" fillId="0" borderId="5" xfId="0" applyNumberFormat="1" applyBorder="1" applyAlignment="1">
      <alignment horizontal="center"/>
    </xf>
    <xf numFmtId="1" fontId="0" fillId="0" borderId="6" xfId="0" applyNumberForma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4" fillId="0" borderId="3" xfId="0" applyFont="1" applyBorder="1" applyAlignment="1">
      <alignment horizontal="center" vertical="center"/>
    </xf>
    <xf numFmtId="0" fontId="4" fillId="0" borderId="1" xfId="0" applyFont="1" applyBorder="1" applyAlignment="1">
      <alignment horizontal="center"/>
    </xf>
    <xf numFmtId="0" fontId="4" fillId="0" borderId="2" xfId="0" applyFont="1" applyBorder="1" applyAlignment="1">
      <alignment horizontal="center"/>
    </xf>
    <xf numFmtId="167" fontId="0" fillId="0" borderId="1" xfId="0" applyNumberFormat="1" applyBorder="1" applyAlignment="1">
      <alignment horizontal="center"/>
    </xf>
    <xf numFmtId="167" fontId="0" fillId="0" borderId="5" xfId="0" applyNumberFormat="1" applyBorder="1" applyAlignment="1">
      <alignment horizontal="center"/>
    </xf>
    <xf numFmtId="4" fontId="0" fillId="0" borderId="1" xfId="0" applyNumberFormat="1" applyBorder="1" applyAlignment="1">
      <alignment horizontal="center"/>
    </xf>
    <xf numFmtId="4" fontId="0" fillId="0" borderId="5" xfId="0" applyNumberFormat="1" applyBorder="1" applyAlignment="1">
      <alignment horizontal="center"/>
    </xf>
    <xf numFmtId="164" fontId="0" fillId="0" borderId="2" xfId="0" applyNumberFormat="1" applyBorder="1" applyAlignment="1">
      <alignment horizontal="center"/>
    </xf>
    <xf numFmtId="164" fontId="0" fillId="0" borderId="6" xfId="0" applyNumberFormat="1" applyBorder="1" applyAlignment="1">
      <alignment horizontal="center"/>
    </xf>
    <xf numFmtId="0" fontId="0" fillId="0" borderId="7" xfId="0" applyBorder="1" applyAlignment="1">
      <alignment horizontal="center"/>
    </xf>
    <xf numFmtId="4" fontId="0" fillId="0" borderId="7" xfId="0" applyNumberFormat="1" applyBorder="1" applyAlignment="1">
      <alignment horizontal="center"/>
    </xf>
    <xf numFmtId="164" fontId="0" fillId="0" borderId="8" xfId="0" applyNumberFormat="1" applyBorder="1" applyAlignment="1">
      <alignment horizontal="center"/>
    </xf>
    <xf numFmtId="0" fontId="0" fillId="0" borderId="1" xfId="0" applyFill="1" applyBorder="1" applyAlignment="1">
      <alignment horizontal="center"/>
    </xf>
    <xf numFmtId="0" fontId="0" fillId="0" borderId="5" xfId="0" applyFill="1" applyBorder="1" applyAlignment="1">
      <alignment horizontal="center"/>
    </xf>
    <xf numFmtId="167" fontId="0" fillId="0" borderId="7" xfId="0" applyNumberFormat="1" applyBorder="1" applyAlignment="1">
      <alignment horizontal="center"/>
    </xf>
    <xf numFmtId="167" fontId="0" fillId="0" borderId="2" xfId="0" applyNumberFormat="1" applyBorder="1" applyAlignment="1">
      <alignment horizontal="center"/>
    </xf>
    <xf numFmtId="167" fontId="0" fillId="0" borderId="6" xfId="0" applyNumberFormat="1" applyBorder="1" applyAlignment="1">
      <alignment horizont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0" fillId="0" borderId="9" xfId="0" applyBorder="1" applyAlignment="1">
      <alignment horizontal="center" vertical="center"/>
    </xf>
    <xf numFmtId="0" fontId="0" fillId="0" borderId="1" xfId="0" applyBorder="1"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xf numFmtId="4" fontId="0" fillId="0" borderId="1" xfId="0" applyNumberFormat="1" applyBorder="1" applyAlignment="1">
      <alignment horizontal="center" vertical="center"/>
    </xf>
    <xf numFmtId="4" fontId="0" fillId="0" borderId="7" xfId="0" applyNumberFormat="1" applyBorder="1" applyAlignment="1">
      <alignment horizontal="center" vertical="center"/>
    </xf>
    <xf numFmtId="4" fontId="0" fillId="0" borderId="5" xfId="0" applyNumberFormat="1" applyBorder="1" applyAlignment="1">
      <alignment horizontal="center" vertical="center"/>
    </xf>
    <xf numFmtId="0" fontId="0" fillId="0" borderId="0" xfId="0" applyAlignment="1">
      <alignment horizontal="center" vertical="center"/>
    </xf>
    <xf numFmtId="164" fontId="0" fillId="0" borderId="13" xfId="0" applyNumberFormat="1" applyBorder="1" applyAlignment="1">
      <alignment horizontal="center" vertical="center"/>
    </xf>
    <xf numFmtId="164" fontId="0" fillId="0" borderId="1" xfId="0" applyNumberFormat="1" applyBorder="1" applyAlignment="1">
      <alignment horizontal="center" vertical="center"/>
    </xf>
    <xf numFmtId="164" fontId="0" fillId="0" borderId="2" xfId="0" applyNumberFormat="1" applyBorder="1" applyAlignment="1">
      <alignment horizontal="center" vertical="center"/>
    </xf>
    <xf numFmtId="0" fontId="4" fillId="0" borderId="0" xfId="0" applyFont="1" applyBorder="1" applyAlignment="1">
      <alignment horizontal="center"/>
    </xf>
    <xf numFmtId="4" fontId="0" fillId="0" borderId="13" xfId="0" applyNumberFormat="1" applyBorder="1" applyAlignment="1">
      <alignment horizontal="center" vertical="center"/>
    </xf>
    <xf numFmtId="4" fontId="0" fillId="0" borderId="14" xfId="0" applyNumberFormat="1" applyBorder="1" applyAlignment="1">
      <alignment horizontal="center" vertical="center"/>
    </xf>
    <xf numFmtId="4" fontId="0" fillId="0" borderId="15" xfId="0" applyNumberFormat="1" applyBorder="1" applyAlignment="1">
      <alignment horizontal="center" vertical="center"/>
    </xf>
    <xf numFmtId="4" fontId="0" fillId="0" borderId="16" xfId="0" applyNumberFormat="1" applyBorder="1" applyAlignment="1">
      <alignment horizontal="center" vertical="center"/>
    </xf>
    <xf numFmtId="4" fontId="6" fillId="0" borderId="13" xfId="0" applyNumberFormat="1" applyFont="1" applyBorder="1" applyAlignment="1">
      <alignment horizontal="center" vertical="center"/>
    </xf>
    <xf numFmtId="4" fontId="6" fillId="0" borderId="15" xfId="0" applyNumberFormat="1" applyFont="1" applyBorder="1" applyAlignment="1">
      <alignment horizontal="center" vertical="center"/>
    </xf>
    <xf numFmtId="4" fontId="6" fillId="0" borderId="14" xfId="0" applyNumberFormat="1" applyFont="1" applyBorder="1" applyAlignment="1">
      <alignment horizontal="center" vertical="center"/>
    </xf>
    <xf numFmtId="4" fontId="6" fillId="0" borderId="5" xfId="0" applyNumberFormat="1" applyFont="1" applyBorder="1" applyAlignment="1">
      <alignment horizontal="center" vertical="center"/>
    </xf>
    <xf numFmtId="0" fontId="4" fillId="0" borderId="17" xfId="0" applyFont="1" applyBorder="1" applyAlignment="1">
      <alignment horizontal="center" vertical="center" wrapText="1"/>
    </xf>
    <xf numFmtId="0" fontId="4" fillId="0" borderId="18" xfId="0" applyFont="1" applyBorder="1" applyAlignment="1">
      <alignment horizontal="center" vertical="center"/>
    </xf>
    <xf numFmtId="0" fontId="4" fillId="0" borderId="4" xfId="0" applyFont="1" applyBorder="1" applyAlignment="1">
      <alignment horizontal="center" vertical="center"/>
    </xf>
    <xf numFmtId="0" fontId="4" fillId="0" borderId="19" xfId="0" applyFont="1" applyBorder="1" applyAlignment="1">
      <alignment horizontal="center" vertical="center"/>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xf>
    <xf numFmtId="164" fontId="6" fillId="0" borderId="13" xfId="0" applyNumberFormat="1" applyFont="1" applyBorder="1" applyAlignment="1">
      <alignment horizontal="center" vertical="center"/>
    </xf>
    <xf numFmtId="0" fontId="4" fillId="0" borderId="20" xfId="0" applyFont="1" applyBorder="1" applyAlignment="1">
      <alignment horizontal="center" vertical="center"/>
    </xf>
    <xf numFmtId="4" fontId="6" fillId="0" borderId="16" xfId="0" applyNumberFormat="1"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xf>
    <xf numFmtId="0" fontId="4" fillId="0" borderId="21" xfId="0" applyFont="1" applyBorder="1" applyAlignment="1">
      <alignment horizontal="center"/>
    </xf>
    <xf numFmtId="0" fontId="4" fillId="0" borderId="4" xfId="0" applyFont="1" applyBorder="1" applyAlignment="1">
      <alignment horizontal="center"/>
    </xf>
    <xf numFmtId="0" fontId="4" fillId="0" borderId="3" xfId="0" applyFont="1" applyFill="1" applyBorder="1" applyAlignment="1">
      <alignment horizontal="center"/>
    </xf>
    <xf numFmtId="0" fontId="4" fillId="0" borderId="4" xfId="0" applyFont="1" applyFill="1" applyBorder="1" applyAlignment="1">
      <alignment horizontal="center"/>
    </xf>
    <xf numFmtId="164" fontId="0" fillId="0" borderId="5" xfId="0" applyNumberFormat="1" applyBorder="1" applyAlignment="1">
      <alignment horizontal="center" vertical="center"/>
    </xf>
    <xf numFmtId="164" fontId="0" fillId="0" borderId="6" xfId="0" applyNumberForma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165" fontId="4" fillId="0" borderId="13" xfId="0" applyNumberFormat="1" applyFont="1" applyBorder="1" applyAlignment="1">
      <alignment horizontal="center" vertical="center"/>
    </xf>
    <xf numFmtId="165" fontId="4" fillId="0" borderId="15" xfId="0" applyNumberFormat="1" applyFont="1" applyBorder="1" applyAlignment="1">
      <alignment horizontal="center" vertical="center"/>
    </xf>
    <xf numFmtId="4" fontId="4" fillId="0" borderId="3" xfId="0" applyNumberFormat="1" applyFont="1" applyBorder="1" applyAlignment="1">
      <alignment horizontal="center" vertical="center"/>
    </xf>
    <xf numFmtId="4" fontId="4" fillId="0" borderId="4" xfId="0" applyNumberFormat="1" applyFont="1" applyBorder="1" applyAlignment="1">
      <alignment horizontal="center" vertical="center"/>
    </xf>
    <xf numFmtId="164" fontId="1" fillId="0" borderId="1" xfId="0" applyNumberFormat="1" applyFont="1" applyBorder="1" applyAlignment="1">
      <alignment horizontal="center" vertical="center"/>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2" xfId="0" applyBorder="1" applyAlignment="1">
      <alignment horizontal="center" vertical="center"/>
    </xf>
    <xf numFmtId="0" fontId="0" fillId="0" borderId="0" xfId="0" applyAlignment="1">
      <alignment vertical="center"/>
    </xf>
    <xf numFmtId="0" fontId="0" fillId="0" borderId="19" xfId="0" applyBorder="1" applyAlignment="1">
      <alignment horizontal="center" vertical="center"/>
    </xf>
    <xf numFmtId="0" fontId="0" fillId="0" borderId="3" xfId="0" applyBorder="1" applyAlignment="1">
      <alignment horizontal="left" vertical="center" indent="1"/>
    </xf>
    <xf numFmtId="0" fontId="0" fillId="0" borderId="4" xfId="0" applyBorder="1" applyAlignment="1">
      <alignment horizontal="left" vertical="center" indent="1"/>
    </xf>
    <xf numFmtId="164" fontId="0" fillId="0" borderId="26" xfId="0" applyNumberFormat="1" applyBorder="1" applyAlignment="1">
      <alignment horizontal="center"/>
    </xf>
    <xf numFmtId="164" fontId="0" fillId="0" borderId="27" xfId="0" applyNumberFormat="1" applyBorder="1" applyAlignment="1">
      <alignment horizontal="center"/>
    </xf>
    <xf numFmtId="0" fontId="0" fillId="0" borderId="3" xfId="0" applyBorder="1" applyAlignment="1">
      <alignment horizontal="left" indent="1"/>
    </xf>
    <xf numFmtId="0" fontId="0" fillId="0" borderId="4" xfId="0" applyBorder="1" applyAlignment="1">
      <alignment horizontal="left" indent="1"/>
    </xf>
    <xf numFmtId="0" fontId="0" fillId="0" borderId="9" xfId="0" applyBorder="1" applyAlignment="1">
      <alignment horizontal="left" indent="1"/>
    </xf>
    <xf numFmtId="0" fontId="0" fillId="0" borderId="28" xfId="0" applyBorder="1" applyAlignment="1">
      <alignment horizontal="left" indent="1"/>
    </xf>
    <xf numFmtId="0" fontId="0" fillId="0" borderId="21" xfId="0" applyBorder="1" applyAlignment="1">
      <alignment horizontal="left" indent="1"/>
    </xf>
    <xf numFmtId="0" fontId="4" fillId="0" borderId="2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0" xfId="0" applyFont="1" applyBorder="1" applyAlignment="1">
      <alignment horizontal="center" vertical="center" wrapText="1"/>
    </xf>
    <xf numFmtId="0" fontId="8" fillId="0" borderId="0" xfId="0" applyFont="1"/>
    <xf numFmtId="0" fontId="4" fillId="0" borderId="7" xfId="0" applyFont="1" applyBorder="1" applyAlignment="1">
      <alignment horizontal="center" vertical="center"/>
    </xf>
    <xf numFmtId="4" fontId="0" fillId="0" borderId="2" xfId="0" applyNumberFormat="1" applyBorder="1" applyAlignment="1">
      <alignment horizontal="center" vertical="center"/>
    </xf>
    <xf numFmtId="4" fontId="0" fillId="0" borderId="8" xfId="0" applyNumberFormat="1" applyBorder="1" applyAlignment="1">
      <alignment horizontal="center" vertical="center"/>
    </xf>
    <xf numFmtId="4" fontId="0" fillId="0" borderId="6" xfId="0" applyNumberFormat="1" applyBorder="1" applyAlignment="1">
      <alignment horizontal="center" vertical="center"/>
    </xf>
    <xf numFmtId="4" fontId="1" fillId="0" borderId="2" xfId="0" applyNumberFormat="1" applyFont="1" applyBorder="1" applyAlignment="1">
      <alignment horizontal="center" vertical="center"/>
    </xf>
    <xf numFmtId="4" fontId="1" fillId="0" borderId="6" xfId="0" applyNumberFormat="1" applyFont="1" applyBorder="1" applyAlignment="1">
      <alignment horizontal="center" vertical="center"/>
    </xf>
    <xf numFmtId="4" fontId="1" fillId="0" borderId="2" xfId="0" applyNumberFormat="1" applyFont="1" applyFill="1" applyBorder="1" applyAlignment="1">
      <alignment horizontal="center" vertical="center"/>
    </xf>
    <xf numFmtId="0" fontId="4" fillId="0" borderId="28" xfId="0" applyFont="1" applyBorder="1" applyAlignment="1">
      <alignment horizontal="center" vertical="center"/>
    </xf>
    <xf numFmtId="4" fontId="1" fillId="0" borderId="6" xfId="0" applyNumberFormat="1" applyFont="1" applyFill="1" applyBorder="1" applyAlignment="1">
      <alignment horizontal="center" vertical="center"/>
    </xf>
    <xf numFmtId="0" fontId="1" fillId="0" borderId="2" xfId="0" applyFont="1" applyBorder="1" applyAlignment="1">
      <alignment horizontal="center"/>
    </xf>
    <xf numFmtId="0" fontId="4" fillId="0" borderId="31" xfId="0" applyFont="1" applyBorder="1" applyAlignment="1">
      <alignment horizontal="center" vertical="center"/>
    </xf>
    <xf numFmtId="0" fontId="4" fillId="0" borderId="15" xfId="0" applyFont="1" applyBorder="1" applyAlignment="1">
      <alignment horizont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2" xfId="0" applyFont="1" applyBorder="1" applyAlignment="1">
      <alignment horizontal="center" vertical="center"/>
    </xf>
    <xf numFmtId="0" fontId="0" fillId="0" borderId="1" xfId="0" quotePrefix="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0"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9" fillId="0" borderId="0" xfId="0" applyFont="1" applyAlignment="1">
      <alignment horizontal="center" vertical="center"/>
    </xf>
    <xf numFmtId="0" fontId="9" fillId="0" borderId="39" xfId="0" applyFont="1" applyBorder="1" applyAlignment="1">
      <alignment horizontal="center" vertical="center"/>
    </xf>
    <xf numFmtId="0" fontId="10" fillId="0" borderId="39" xfId="0" applyFont="1" applyBorder="1" applyAlignment="1">
      <alignment horizontal="center" vertical="center" wrapText="1"/>
    </xf>
    <xf numFmtId="4" fontId="9" fillId="0" borderId="39" xfId="0" applyNumberFormat="1" applyFont="1" applyBorder="1" applyAlignment="1">
      <alignment horizontal="center" vertical="center"/>
    </xf>
    <xf numFmtId="0" fontId="9" fillId="0" borderId="39" xfId="0" applyFont="1" applyFill="1" applyBorder="1" applyAlignment="1">
      <alignment horizontal="center" vertical="center"/>
    </xf>
    <xf numFmtId="169" fontId="9" fillId="0" borderId="39" xfId="0" applyNumberFormat="1" applyFont="1" applyFill="1" applyBorder="1" applyAlignment="1">
      <alignment horizontal="center" vertical="center"/>
    </xf>
    <xf numFmtId="4" fontId="9" fillId="0" borderId="39" xfId="0" applyNumberFormat="1" applyFont="1" applyFill="1" applyBorder="1" applyAlignment="1">
      <alignment horizontal="center" vertical="center"/>
    </xf>
    <xf numFmtId="0" fontId="11" fillId="0" borderId="0" xfId="0" applyFont="1"/>
    <xf numFmtId="0" fontId="11" fillId="0" borderId="39" xfId="0" applyFont="1" applyBorder="1" applyAlignment="1">
      <alignment horizontal="center"/>
    </xf>
    <xf numFmtId="0" fontId="11" fillId="0" borderId="0" xfId="0" applyFont="1" applyAlignment="1">
      <alignment horizontal="center"/>
    </xf>
    <xf numFmtId="0" fontId="4" fillId="0" borderId="40" xfId="0" applyFont="1" applyBorder="1" applyAlignment="1">
      <alignment horizontal="center"/>
    </xf>
    <xf numFmtId="0" fontId="4" fillId="0" borderId="39" xfId="0" applyFont="1" applyBorder="1" applyAlignment="1">
      <alignment horizontal="center"/>
    </xf>
    <xf numFmtId="169" fontId="4" fillId="0" borderId="39" xfId="0" applyNumberFormat="1" applyFont="1" applyBorder="1" applyAlignment="1">
      <alignment horizontal="center"/>
    </xf>
    <xf numFmtId="0" fontId="4" fillId="0" borderId="41" xfId="0" applyFont="1" applyBorder="1" applyAlignment="1">
      <alignment horizontal="center"/>
    </xf>
    <xf numFmtId="167" fontId="11" fillId="0" borderId="40" xfId="0" applyNumberFormat="1" applyFont="1" applyBorder="1" applyAlignment="1">
      <alignment horizontal="center"/>
    </xf>
    <xf numFmtId="164" fontId="11" fillId="0" borderId="39" xfId="0" applyNumberFormat="1" applyFont="1" applyBorder="1" applyAlignment="1">
      <alignment horizontal="center"/>
    </xf>
    <xf numFmtId="4" fontId="11" fillId="0" borderId="39" xfId="0" applyNumberFormat="1" applyFont="1" applyBorder="1" applyAlignment="1">
      <alignment horizontal="center"/>
    </xf>
    <xf numFmtId="0" fontId="11" fillId="0" borderId="41" xfId="0" applyFont="1" applyBorder="1" applyAlignment="1">
      <alignment horizontal="center"/>
    </xf>
    <xf numFmtId="166" fontId="11" fillId="0" borderId="0" xfId="0" applyNumberFormat="1" applyFont="1"/>
    <xf numFmtId="167" fontId="11" fillId="0" borderId="42" xfId="0" applyNumberFormat="1" applyFont="1" applyBorder="1" applyAlignment="1">
      <alignment horizontal="center"/>
    </xf>
    <xf numFmtId="164" fontId="11" fillId="0" borderId="43" xfId="0" applyNumberFormat="1" applyFont="1" applyBorder="1" applyAlignment="1">
      <alignment horizontal="center"/>
    </xf>
    <xf numFmtId="0" fontId="11" fillId="0" borderId="43" xfId="0" applyFont="1" applyBorder="1" applyAlignment="1">
      <alignment horizontal="center"/>
    </xf>
    <xf numFmtId="4" fontId="11" fillId="0" borderId="43" xfId="0" applyNumberFormat="1" applyFont="1" applyBorder="1" applyAlignment="1">
      <alignment horizontal="center"/>
    </xf>
    <xf numFmtId="0" fontId="11" fillId="0" borderId="44" xfId="0" applyFont="1" applyBorder="1" applyAlignment="1">
      <alignment horizontal="center"/>
    </xf>
    <xf numFmtId="4" fontId="11" fillId="0" borderId="0" xfId="0" applyNumberFormat="1" applyFont="1"/>
    <xf numFmtId="0" fontId="4" fillId="0" borderId="17" xfId="0" applyFont="1" applyBorder="1" applyAlignment="1">
      <alignment horizontal="center"/>
    </xf>
    <xf numFmtId="0" fontId="4" fillId="0" borderId="19" xfId="0" applyFont="1" applyBorder="1" applyAlignment="1">
      <alignment horizontal="center"/>
    </xf>
    <xf numFmtId="0" fontId="4" fillId="0" borderId="20" xfId="0" applyFont="1" applyBorder="1" applyAlignment="1">
      <alignment horizontal="center"/>
    </xf>
    <xf numFmtId="0" fontId="4" fillId="0" borderId="13" xfId="0" applyFont="1" applyBorder="1" applyAlignment="1">
      <alignment horizontal="center"/>
    </xf>
    <xf numFmtId="0" fontId="2" fillId="0" borderId="0" xfId="0" applyFont="1" applyBorder="1" applyAlignment="1">
      <alignment horizontal="left"/>
    </xf>
    <xf numFmtId="0" fontId="14" fillId="0" borderId="0" xfId="0" applyFont="1" applyBorder="1" applyAlignment="1">
      <alignment horizontal="left"/>
    </xf>
    <xf numFmtId="0" fontId="0" fillId="0" borderId="0" xfId="0" applyBorder="1" applyAlignment="1">
      <alignment horizontal="left"/>
    </xf>
    <xf numFmtId="0" fontId="13" fillId="0" borderId="0" xfId="0" applyFont="1" applyBorder="1" applyAlignment="1">
      <alignment horizontal="left"/>
    </xf>
    <xf numFmtId="0" fontId="14" fillId="0" borderId="0" xfId="0" applyFont="1" applyBorder="1" applyAlignment="1">
      <alignment horizontal="left" indent="3"/>
    </xf>
    <xf numFmtId="0" fontId="13" fillId="0" borderId="0" xfId="0" applyFont="1" applyBorder="1" applyAlignment="1">
      <alignment horizontal="center"/>
    </xf>
    <xf numFmtId="4" fontId="16" fillId="0" borderId="0" xfId="0" applyNumberFormat="1" applyFont="1" applyBorder="1" applyAlignment="1">
      <alignment horizontal="center"/>
    </xf>
    <xf numFmtId="0" fontId="16" fillId="0" borderId="0" xfId="0" applyFont="1" applyBorder="1" applyAlignment="1">
      <alignment horizontal="center"/>
    </xf>
    <xf numFmtId="0" fontId="16" fillId="0" borderId="19" xfId="0" applyFont="1" applyBorder="1" applyAlignment="1">
      <alignment horizontal="center" vertical="center" wrapText="1"/>
    </xf>
    <xf numFmtId="0" fontId="0" fillId="0" borderId="0" xfId="0" applyAlignment="1">
      <alignment horizontal="left" vertical="center"/>
    </xf>
    <xf numFmtId="0" fontId="4" fillId="0" borderId="17" xfId="0" applyFont="1" applyBorder="1" applyAlignment="1">
      <alignment horizontal="center" vertical="center"/>
    </xf>
    <xf numFmtId="0" fontId="4" fillId="0" borderId="2" xfId="0" applyFont="1" applyBorder="1" applyAlignment="1">
      <alignment horizontal="center" vertical="center"/>
    </xf>
    <xf numFmtId="0" fontId="11" fillId="0" borderId="0" xfId="0" applyFont="1" applyAlignment="1">
      <alignment horizontal="center" vertical="center"/>
    </xf>
    <xf numFmtId="0" fontId="12" fillId="0" borderId="0" xfId="0" applyFont="1" applyBorder="1" applyAlignment="1">
      <alignment horizontal="center" vertical="center" wrapText="1"/>
    </xf>
    <xf numFmtId="0" fontId="0" fillId="0" borderId="6"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16" fillId="0" borderId="15"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 xfId="0" applyFont="1" applyBorder="1" applyAlignment="1">
      <alignment horizontal="center" vertical="center" wrapText="1"/>
    </xf>
    <xf numFmtId="4" fontId="0" fillId="0" borderId="2" xfId="0" applyNumberFormat="1" applyBorder="1" applyAlignment="1">
      <alignment horizontal="center"/>
    </xf>
    <xf numFmtId="4" fontId="0" fillId="0" borderId="6" xfId="0" applyNumberFormat="1" applyBorder="1" applyAlignment="1">
      <alignment horizontal="center"/>
    </xf>
    <xf numFmtId="0" fontId="4" fillId="0" borderId="18" xfId="0" applyFont="1" applyBorder="1" applyAlignment="1">
      <alignment horizontal="center"/>
    </xf>
    <xf numFmtId="0" fontId="4" fillId="0" borderId="1" xfId="0" applyFont="1" applyFill="1" applyBorder="1" applyAlignment="1">
      <alignment horizontal="center"/>
    </xf>
    <xf numFmtId="0" fontId="4" fillId="0" borderId="2" xfId="0" applyFont="1" applyFill="1" applyBorder="1" applyAlignment="1">
      <alignment horizontal="center"/>
    </xf>
    <xf numFmtId="0" fontId="0" fillId="0" borderId="0" xfId="0" quotePrefix="1"/>
    <xf numFmtId="167" fontId="1" fillId="0" borderId="0" xfId="0" applyNumberFormat="1" applyFont="1" applyAlignment="1">
      <alignment horizontal="center"/>
    </xf>
    <xf numFmtId="167" fontId="4" fillId="0" borderId="17" xfId="0" applyNumberFormat="1" applyFont="1" applyBorder="1" applyAlignment="1">
      <alignment horizontal="center"/>
    </xf>
    <xf numFmtId="4" fontId="0" fillId="0" borderId="19" xfId="0" applyNumberFormat="1" applyBorder="1" applyAlignment="1">
      <alignment horizontal="center"/>
    </xf>
    <xf numFmtId="167" fontId="4" fillId="0" borderId="3" xfId="0" applyNumberFormat="1" applyFont="1" applyBorder="1" applyAlignment="1">
      <alignment horizontal="center"/>
    </xf>
    <xf numFmtId="167" fontId="4" fillId="0" borderId="4" xfId="0" applyNumberFormat="1" applyFont="1" applyBorder="1" applyAlignment="1">
      <alignment horizontal="center"/>
    </xf>
    <xf numFmtId="0" fontId="4" fillId="0" borderId="5" xfId="0" applyFont="1" applyBorder="1" applyAlignment="1">
      <alignment horizontal="center"/>
    </xf>
    <xf numFmtId="0" fontId="4" fillId="0" borderId="45" xfId="0" applyFont="1" applyBorder="1"/>
    <xf numFmtId="0" fontId="0" fillId="0" borderId="45" xfId="0" applyBorder="1"/>
    <xf numFmtId="0" fontId="4" fillId="0" borderId="27" xfId="0" applyFont="1" applyBorder="1" applyAlignment="1">
      <alignment horizontal="center"/>
    </xf>
    <xf numFmtId="167" fontId="4" fillId="0" borderId="20" xfId="0" applyNumberFormat="1" applyFont="1" applyFill="1" applyBorder="1" applyAlignment="1">
      <alignment horizontal="center"/>
    </xf>
    <xf numFmtId="167" fontId="4" fillId="0" borderId="2" xfId="0" applyNumberFormat="1" applyFont="1" applyFill="1" applyBorder="1" applyAlignment="1">
      <alignment horizontal="center"/>
    </xf>
    <xf numFmtId="167" fontId="4" fillId="0" borderId="6" xfId="0" applyNumberFormat="1" applyFont="1" applyFill="1" applyBorder="1" applyAlignment="1">
      <alignment horizontal="center"/>
    </xf>
    <xf numFmtId="0" fontId="3" fillId="0" borderId="0" xfId="0" applyFont="1" applyFill="1" applyBorder="1" applyAlignment="1">
      <alignment horizontal="center"/>
    </xf>
    <xf numFmtId="0" fontId="4" fillId="0" borderId="19" xfId="0" applyFont="1" applyBorder="1"/>
    <xf numFmtId="0" fontId="4" fillId="0" borderId="20" xfId="0" applyFont="1" applyBorder="1"/>
    <xf numFmtId="0" fontId="0" fillId="0" borderId="1" xfId="0" quotePrefix="1" applyBorder="1" applyAlignment="1">
      <alignment horizontal="center"/>
    </xf>
    <xf numFmtId="0" fontId="1" fillId="0" borderId="0" xfId="0" applyFont="1" applyBorder="1" applyAlignment="1">
      <alignment horizontal="center"/>
    </xf>
    <xf numFmtId="0" fontId="1" fillId="0" borderId="0" xfId="0" applyFont="1" applyBorder="1"/>
    <xf numFmtId="0" fontId="1" fillId="0" borderId="0" xfId="0" applyFont="1" applyFill="1" applyBorder="1" applyAlignment="1">
      <alignment horizontal="center"/>
    </xf>
    <xf numFmtId="0" fontId="12" fillId="0" borderId="0" xfId="0" applyFont="1"/>
    <xf numFmtId="0" fontId="4" fillId="0" borderId="3" xfId="0" quotePrefix="1" applyFont="1" applyBorder="1" applyAlignment="1">
      <alignment horizontal="center"/>
    </xf>
    <xf numFmtId="0" fontId="4" fillId="0" borderId="4" xfId="0" quotePrefix="1" applyFont="1" applyBorder="1" applyAlignment="1">
      <alignment horizontal="center"/>
    </xf>
    <xf numFmtId="0" fontId="0" fillId="0" borderId="17" xfId="0" applyBorder="1" applyAlignment="1">
      <alignment vertical="center"/>
    </xf>
    <xf numFmtId="4" fontId="0" fillId="0" borderId="20" xfId="0" applyNumberFormat="1"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11" fillId="0" borderId="17" xfId="0" applyFont="1" applyBorder="1" applyAlignment="1">
      <alignment vertical="center"/>
    </xf>
    <xf numFmtId="0" fontId="11" fillId="0" borderId="3" xfId="0" applyFont="1" applyBorder="1" applyAlignment="1">
      <alignment vertical="center"/>
    </xf>
    <xf numFmtId="0" fontId="11" fillId="0" borderId="4" xfId="0" applyFont="1" applyBorder="1" applyAlignment="1">
      <alignment vertical="center"/>
    </xf>
    <xf numFmtId="4" fontId="1" fillId="0" borderId="20" xfId="0" applyNumberFormat="1" applyFont="1" applyBorder="1" applyAlignment="1">
      <alignment horizontal="center" vertical="center"/>
    </xf>
    <xf numFmtId="0" fontId="9" fillId="0" borderId="46" xfId="0" applyFont="1" applyBorder="1" applyAlignment="1">
      <alignment horizontal="center" vertical="center"/>
    </xf>
    <xf numFmtId="0" fontId="9" fillId="0" borderId="47" xfId="0" applyFont="1" applyBorder="1" applyAlignment="1">
      <alignment horizontal="center" vertical="center"/>
    </xf>
    <xf numFmtId="0" fontId="9" fillId="0" borderId="46"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0" xfId="0" applyFont="1" applyBorder="1" applyAlignment="1">
      <alignment horizontal="center" vertical="center" wrapText="1"/>
    </xf>
    <xf numFmtId="0" fontId="9" fillId="0" borderId="48" xfId="0" applyFont="1" applyBorder="1" applyAlignment="1">
      <alignment horizontal="center" vertical="center"/>
    </xf>
    <xf numFmtId="0" fontId="9" fillId="0" borderId="49" xfId="0" applyFont="1" applyBorder="1" applyAlignment="1">
      <alignment horizontal="center" vertical="center"/>
    </xf>
    <xf numFmtId="0" fontId="9" fillId="0" borderId="35" xfId="0" applyFont="1" applyBorder="1" applyAlignment="1">
      <alignment horizontal="center" vertical="center"/>
    </xf>
    <xf numFmtId="0" fontId="9" fillId="0" borderId="0" xfId="0" applyFont="1" applyBorder="1" applyAlignment="1">
      <alignment horizontal="center" vertical="center"/>
    </xf>
    <xf numFmtId="0" fontId="9" fillId="0" borderId="50" xfId="0" applyFont="1" applyBorder="1" applyAlignment="1">
      <alignment horizontal="center" vertical="center"/>
    </xf>
    <xf numFmtId="0" fontId="9" fillId="0" borderId="51" xfId="0" applyFont="1" applyBorder="1" applyAlignment="1">
      <alignment horizontal="center" vertical="center"/>
    </xf>
    <xf numFmtId="0" fontId="9" fillId="0" borderId="52" xfId="0" applyFont="1" applyBorder="1" applyAlignment="1">
      <alignment horizontal="center" vertical="center"/>
    </xf>
    <xf numFmtId="0" fontId="9" fillId="0" borderId="39" xfId="0" applyFont="1" applyBorder="1" applyAlignment="1">
      <alignment horizontal="center" vertical="center" wrapText="1"/>
    </xf>
    <xf numFmtId="0" fontId="9" fillId="0" borderId="53" xfId="0" applyFont="1" applyBorder="1" applyAlignment="1">
      <alignment horizontal="center" vertical="center"/>
    </xf>
    <xf numFmtId="0" fontId="9" fillId="0" borderId="54" xfId="0" applyFont="1" applyBorder="1" applyAlignment="1">
      <alignment horizontal="center" vertical="center"/>
    </xf>
    <xf numFmtId="49" fontId="9" fillId="0" borderId="51" xfId="0" applyNumberFormat="1" applyFont="1" applyBorder="1" applyAlignment="1">
      <alignment horizontal="center" vertical="center"/>
    </xf>
    <xf numFmtId="169" fontId="9" fillId="0" borderId="51" xfId="0" applyNumberFormat="1" applyFont="1" applyBorder="1" applyAlignment="1">
      <alignment horizontal="center" vertical="center"/>
    </xf>
    <xf numFmtId="169" fontId="9" fillId="0" borderId="52" xfId="0" applyNumberFormat="1" applyFont="1" applyBorder="1" applyAlignment="1">
      <alignment horizontal="center" vertical="center"/>
    </xf>
    <xf numFmtId="4" fontId="9" fillId="0" borderId="51" xfId="0" applyNumberFormat="1" applyFont="1" applyBorder="1" applyAlignment="1">
      <alignment horizontal="center" vertical="center"/>
    </xf>
    <xf numFmtId="4" fontId="9" fillId="0" borderId="52" xfId="0" applyNumberFormat="1" applyFont="1" applyBorder="1" applyAlignment="1">
      <alignment horizontal="center" vertical="center"/>
    </xf>
    <xf numFmtId="4" fontId="9" fillId="2" borderId="53" xfId="0" applyNumberFormat="1" applyFont="1" applyFill="1" applyBorder="1" applyAlignment="1">
      <alignment horizontal="center" vertical="center"/>
    </xf>
    <xf numFmtId="4" fontId="9" fillId="3" borderId="54" xfId="0" applyNumberFormat="1" applyFont="1" applyFill="1" applyBorder="1" applyAlignment="1">
      <alignment horizontal="center" vertical="center"/>
    </xf>
    <xf numFmtId="0" fontId="9" fillId="0" borderId="52" xfId="0" applyFont="1" applyFill="1" applyBorder="1" applyAlignment="1">
      <alignment horizontal="center" vertical="center"/>
    </xf>
    <xf numFmtId="0" fontId="9" fillId="0" borderId="55" xfId="0" applyFont="1" applyFill="1" applyBorder="1" applyAlignment="1">
      <alignment horizontal="center" vertical="center"/>
    </xf>
    <xf numFmtId="49" fontId="9" fillId="0" borderId="52" xfId="0" applyNumberFormat="1" applyFont="1" applyBorder="1" applyAlignment="1">
      <alignment horizontal="center" vertical="center"/>
    </xf>
    <xf numFmtId="0" fontId="9" fillId="0" borderId="51" xfId="0" applyFont="1" applyFill="1" applyBorder="1" applyAlignment="1">
      <alignment horizontal="center" vertical="center"/>
    </xf>
    <xf numFmtId="169" fontId="9" fillId="0" borderId="51" xfId="0" applyNumberFormat="1" applyFont="1" applyFill="1" applyBorder="1" applyAlignment="1">
      <alignment horizontal="center" vertical="center"/>
    </xf>
    <xf numFmtId="169" fontId="9" fillId="0" borderId="52" xfId="0" applyNumberFormat="1" applyFont="1" applyFill="1" applyBorder="1" applyAlignment="1">
      <alignment horizontal="center" vertical="center"/>
    </xf>
    <xf numFmtId="49" fontId="9" fillId="0" borderId="51" xfId="0" applyNumberFormat="1" applyFont="1" applyFill="1" applyBorder="1" applyAlignment="1">
      <alignment horizontal="center" vertical="center"/>
    </xf>
    <xf numFmtId="4" fontId="9" fillId="0" borderId="51" xfId="0" applyNumberFormat="1" applyFont="1" applyFill="1" applyBorder="1" applyAlignment="1">
      <alignment horizontal="center" vertical="center"/>
    </xf>
    <xf numFmtId="4" fontId="9" fillId="0" borderId="52" xfId="0" applyNumberFormat="1" applyFont="1" applyFill="1" applyBorder="1" applyAlignment="1">
      <alignment horizontal="center" vertical="center"/>
    </xf>
    <xf numFmtId="49" fontId="9" fillId="0" borderId="56" xfId="0" applyNumberFormat="1" applyFont="1" applyFill="1" applyBorder="1" applyAlignment="1">
      <alignment horizontal="center" vertical="center"/>
    </xf>
    <xf numFmtId="4" fontId="9" fillId="0" borderId="57" xfId="0" applyNumberFormat="1" applyFont="1" applyFill="1" applyBorder="1" applyAlignment="1">
      <alignment horizontal="center" vertical="center"/>
    </xf>
    <xf numFmtId="4" fontId="9" fillId="0" borderId="57" xfId="0" applyNumberFormat="1" applyFont="1" applyBorder="1" applyAlignment="1">
      <alignment horizontal="center" vertical="center"/>
    </xf>
    <xf numFmtId="0" fontId="9" fillId="0" borderId="56" xfId="0" applyFont="1" applyFill="1" applyBorder="1" applyAlignment="1">
      <alignment horizontal="center" vertical="center"/>
    </xf>
    <xf numFmtId="0" fontId="9" fillId="0" borderId="58" xfId="0" applyFont="1" applyFill="1" applyBorder="1" applyAlignment="1">
      <alignment horizontal="center" vertical="center"/>
    </xf>
    <xf numFmtId="169" fontId="9" fillId="0" borderId="56" xfId="0" applyNumberFormat="1" applyFont="1" applyFill="1" applyBorder="1" applyAlignment="1">
      <alignment horizontal="center" vertical="center"/>
    </xf>
    <xf numFmtId="169" fontId="9" fillId="0" borderId="57" xfId="0" applyNumberFormat="1" applyFont="1" applyFill="1" applyBorder="1" applyAlignment="1">
      <alignment horizontal="center" vertical="center"/>
    </xf>
    <xf numFmtId="169" fontId="9" fillId="0" borderId="58" xfId="0" applyNumberFormat="1" applyFont="1" applyFill="1" applyBorder="1" applyAlignment="1">
      <alignment horizontal="center" vertical="center"/>
    </xf>
    <xf numFmtId="4" fontId="9" fillId="0" borderId="56" xfId="0" applyNumberFormat="1" applyFont="1" applyFill="1" applyBorder="1" applyAlignment="1">
      <alignment horizontal="center" vertical="center"/>
    </xf>
    <xf numFmtId="4" fontId="9" fillId="0" borderId="58" xfId="0" applyNumberFormat="1" applyFont="1" applyFill="1" applyBorder="1" applyAlignment="1">
      <alignment horizontal="center" vertical="center"/>
    </xf>
    <xf numFmtId="4" fontId="9" fillId="2" borderId="59" xfId="0" applyNumberFormat="1" applyFont="1" applyFill="1" applyBorder="1" applyAlignment="1">
      <alignment horizontal="center" vertical="center"/>
    </xf>
    <xf numFmtId="4" fontId="9" fillId="3" borderId="60" xfId="0" applyNumberFormat="1" applyFont="1" applyFill="1" applyBorder="1" applyAlignment="1">
      <alignment horizontal="center" vertical="center"/>
    </xf>
    <xf numFmtId="0" fontId="9" fillId="0" borderId="56" xfId="0" applyFont="1" applyBorder="1" applyAlignment="1">
      <alignment horizontal="center" vertical="center"/>
    </xf>
    <xf numFmtId="49" fontId="9" fillId="0" borderId="58" xfId="0" applyNumberFormat="1" applyFont="1" applyBorder="1" applyAlignment="1">
      <alignment horizontal="center" vertical="center"/>
    </xf>
    <xf numFmtId="0" fontId="0" fillId="0" borderId="0" xfId="0" applyAlignment="1">
      <alignment horizontal="left"/>
    </xf>
    <xf numFmtId="0" fontId="0" fillId="0" borderId="0" xfId="0" applyAlignment="1"/>
    <xf numFmtId="0" fontId="0" fillId="0" borderId="3" xfId="0" applyBorder="1" applyAlignment="1">
      <alignment horizontal="center"/>
    </xf>
    <xf numFmtId="0" fontId="4" fillId="0" borderId="1" xfId="0" applyFont="1" applyBorder="1" applyAlignment="1">
      <alignment horizontal="left"/>
    </xf>
    <xf numFmtId="0" fontId="4" fillId="0" borderId="1" xfId="0" applyFont="1" applyBorder="1" applyAlignment="1"/>
    <xf numFmtId="0" fontId="4" fillId="0" borderId="5" xfId="0" applyFont="1" applyBorder="1" applyAlignment="1"/>
    <xf numFmtId="0" fontId="0" fillId="0" borderId="0" xfId="0" quotePrefix="1" applyAlignment="1">
      <alignment horizontal="center"/>
    </xf>
    <xf numFmtId="0" fontId="0" fillId="0" borderId="3" xfId="0" applyFill="1" applyBorder="1" applyAlignment="1">
      <alignment horizontal="left"/>
    </xf>
    <xf numFmtId="0" fontId="0" fillId="0" borderId="2" xfId="0" applyBorder="1"/>
    <xf numFmtId="0" fontId="0" fillId="0" borderId="3" xfId="0" applyBorder="1" applyAlignment="1">
      <alignment horizontal="left"/>
    </xf>
    <xf numFmtId="0" fontId="0" fillId="0" borderId="4" xfId="0" applyBorder="1" applyAlignment="1">
      <alignment horizontal="left"/>
    </xf>
    <xf numFmtId="0" fontId="0" fillId="0" borderId="5" xfId="0" quotePrefix="1" applyBorder="1" applyAlignment="1">
      <alignment horizontal="center"/>
    </xf>
    <xf numFmtId="0" fontId="0" fillId="0" borderId="6" xfId="0" applyBorder="1"/>
    <xf numFmtId="0" fontId="4" fillId="0" borderId="17" xfId="0" applyFont="1" applyBorder="1" applyAlignment="1">
      <alignment vertical="center"/>
    </xf>
    <xf numFmtId="0" fontId="4" fillId="0" borderId="19" xfId="0" applyFont="1" applyBorder="1" applyAlignment="1">
      <alignment vertical="top" wrapText="1"/>
    </xf>
    <xf numFmtId="0" fontId="4" fillId="0" borderId="20" xfId="0" applyFont="1" applyBorder="1" applyAlignment="1">
      <alignment vertical="top" wrapText="1"/>
    </xf>
    <xf numFmtId="0" fontId="16" fillId="0" borderId="0" xfId="0" applyFont="1" applyBorder="1" applyAlignment="1">
      <alignment horizontal="center" vertical="center" wrapText="1"/>
    </xf>
    <xf numFmtId="0" fontId="31" fillId="5" borderId="1" xfId="0" applyFont="1" applyFill="1" applyBorder="1" applyAlignment="1">
      <alignment horizontal="center" vertical="center" wrapText="1"/>
    </xf>
    <xf numFmtId="0" fontId="31" fillId="5" borderId="1" xfId="0" applyFont="1" applyFill="1" applyBorder="1" applyAlignment="1">
      <alignment horizontal="center" vertical="center"/>
    </xf>
    <xf numFmtId="0" fontId="31" fillId="6" borderId="1" xfId="0" applyFont="1" applyFill="1" applyBorder="1" applyAlignment="1">
      <alignment horizontal="center" vertical="center" wrapText="1"/>
    </xf>
    <xf numFmtId="0" fontId="31" fillId="6" borderId="1" xfId="0" applyFont="1" applyFill="1" applyBorder="1" applyAlignment="1">
      <alignment horizontal="center" vertical="center"/>
    </xf>
    <xf numFmtId="49" fontId="32" fillId="7" borderId="1" xfId="0" applyNumberFormat="1" applyFont="1" applyFill="1" applyBorder="1" applyAlignment="1">
      <alignment horizontal="center" vertical="center" wrapText="1"/>
    </xf>
    <xf numFmtId="0" fontId="33" fillId="7" borderId="1" xfId="0" applyFont="1" applyFill="1" applyBorder="1" applyAlignment="1">
      <alignment horizontal="center" wrapText="1"/>
    </xf>
    <xf numFmtId="0" fontId="34" fillId="8" borderId="133" xfId="0" applyFont="1" applyFill="1" applyBorder="1" applyAlignment="1">
      <alignment horizontal="center" wrapText="1"/>
    </xf>
    <xf numFmtId="0" fontId="34" fillId="8" borderId="134" xfId="0" applyFont="1" applyFill="1" applyBorder="1" applyAlignment="1">
      <alignment horizontal="center" wrapText="1"/>
    </xf>
    <xf numFmtId="0" fontId="24" fillId="8" borderId="1" xfId="0" applyFont="1" applyFill="1" applyBorder="1" applyAlignment="1">
      <alignment horizontal="center" vertical="center" wrapText="1"/>
    </xf>
    <xf numFmtId="170" fontId="31" fillId="9" borderId="1" xfId="0" applyNumberFormat="1" applyFont="1" applyFill="1" applyBorder="1" applyAlignment="1">
      <alignment horizontal="center" vertical="center"/>
    </xf>
    <xf numFmtId="0" fontId="34" fillId="9" borderId="1" xfId="0" applyFont="1" applyFill="1" applyBorder="1" applyAlignment="1">
      <alignment horizontal="center" vertical="center" wrapText="1"/>
    </xf>
    <xf numFmtId="170" fontId="34" fillId="9" borderId="1" xfId="0" applyNumberFormat="1" applyFont="1" applyFill="1" applyBorder="1" applyAlignment="1">
      <alignment horizontal="center" vertical="center"/>
    </xf>
    <xf numFmtId="0" fontId="4" fillId="9" borderId="32" xfId="0" applyFont="1" applyFill="1" applyBorder="1" applyAlignment="1">
      <alignment horizontal="center" vertical="center"/>
    </xf>
    <xf numFmtId="0" fontId="4" fillId="9" borderId="1" xfId="0" applyFont="1" applyFill="1" applyBorder="1" applyAlignment="1">
      <alignment horizontal="center" vertical="center"/>
    </xf>
    <xf numFmtId="4" fontId="0" fillId="9" borderId="1" xfId="0" applyNumberFormat="1" applyFill="1" applyBorder="1" applyAlignment="1">
      <alignment horizontal="center" vertical="center"/>
    </xf>
    <xf numFmtId="4" fontId="0" fillId="9" borderId="5" xfId="0" applyNumberFormat="1" applyFill="1" applyBorder="1" applyAlignment="1">
      <alignment horizontal="center" vertical="center"/>
    </xf>
    <xf numFmtId="0" fontId="1" fillId="9" borderId="7" xfId="0" applyFont="1" applyFill="1" applyBorder="1" applyAlignment="1">
      <alignment horizontal="center" vertical="center"/>
    </xf>
    <xf numFmtId="0" fontId="1" fillId="9" borderId="1" xfId="0" applyFont="1" applyFill="1" applyBorder="1" applyAlignment="1">
      <alignment horizontal="center" vertical="center"/>
    </xf>
    <xf numFmtId="4" fontId="1" fillId="9" borderId="9" xfId="0" applyNumberFormat="1" applyFont="1" applyFill="1" applyBorder="1" applyAlignment="1">
      <alignment horizontal="center" vertical="center"/>
    </xf>
    <xf numFmtId="4" fontId="1" fillId="9" borderId="28" xfId="0" applyNumberFormat="1" applyFont="1" applyFill="1" applyBorder="1" applyAlignment="1">
      <alignment horizontal="center" vertical="center"/>
    </xf>
    <xf numFmtId="0" fontId="21" fillId="0" borderId="61" xfId="0" applyFont="1" applyBorder="1"/>
    <xf numFmtId="0" fontId="0" fillId="0" borderId="62" xfId="0" applyBorder="1"/>
    <xf numFmtId="0" fontId="0" fillId="0" borderId="63" xfId="0" applyBorder="1"/>
    <xf numFmtId="0" fontId="21" fillId="0" borderId="64" xfId="0" applyFont="1" applyBorder="1"/>
    <xf numFmtId="0" fontId="0" fillId="0" borderId="0" xfId="0" applyBorder="1"/>
    <xf numFmtId="0" fontId="0" fillId="0" borderId="65" xfId="0" applyBorder="1"/>
    <xf numFmtId="0" fontId="21" fillId="0" borderId="66" xfId="0" applyFont="1" applyBorder="1"/>
    <xf numFmtId="0" fontId="0" fillId="0" borderId="67" xfId="0" applyBorder="1"/>
    <xf numFmtId="0" fontId="0" fillId="0" borderId="68" xfId="0" applyBorder="1"/>
    <xf numFmtId="0" fontId="27" fillId="0" borderId="0" xfId="2" applyFont="1"/>
    <xf numFmtId="169" fontId="27" fillId="0" borderId="0" xfId="2" applyNumberFormat="1" applyFont="1"/>
    <xf numFmtId="2" fontId="27" fillId="0" borderId="0" xfId="2" applyNumberFormat="1" applyFont="1"/>
    <xf numFmtId="166" fontId="27" fillId="0" borderId="0" xfId="2" applyNumberFormat="1" applyFont="1"/>
    <xf numFmtId="0" fontId="27" fillId="0" borderId="69" xfId="2" applyFont="1" applyBorder="1" applyAlignment="1">
      <alignment horizontal="center" vertical="center" wrapText="1"/>
    </xf>
    <xf numFmtId="0" fontId="27" fillId="0" borderId="1" xfId="2" applyFont="1" applyBorder="1" applyAlignment="1">
      <alignment horizontal="center" vertical="center" wrapText="1"/>
    </xf>
    <xf numFmtId="0" fontId="27" fillId="0" borderId="70" xfId="2" applyFont="1" applyBorder="1" applyAlignment="1">
      <alignment horizontal="center" vertical="center" wrapText="1"/>
    </xf>
    <xf numFmtId="166" fontId="27" fillId="0" borderId="71" xfId="2" applyNumberFormat="1" applyFont="1" applyBorder="1" applyAlignment="1">
      <alignment horizontal="center" vertical="center" wrapText="1"/>
    </xf>
    <xf numFmtId="2" fontId="27" fillId="0" borderId="72" xfId="2" applyNumberFormat="1" applyFont="1" applyBorder="1" applyAlignment="1">
      <alignment horizontal="center" vertical="center" wrapText="1"/>
    </xf>
    <xf numFmtId="169" fontId="27" fillId="0" borderId="69" xfId="2" applyNumberFormat="1" applyFont="1" applyBorder="1" applyAlignment="1">
      <alignment horizontal="center" vertical="center" wrapText="1"/>
    </xf>
    <xf numFmtId="2" fontId="27" fillId="0" borderId="1" xfId="2" applyNumberFormat="1" applyFont="1" applyBorder="1" applyAlignment="1">
      <alignment horizontal="center" vertical="center" wrapText="1"/>
    </xf>
    <xf numFmtId="2" fontId="27" fillId="0" borderId="9" xfId="2" applyNumberFormat="1" applyFont="1" applyBorder="1" applyAlignment="1">
      <alignment horizontal="center" vertical="center" wrapText="1"/>
    </xf>
    <xf numFmtId="0" fontId="27" fillId="0" borderId="73" xfId="2" applyFont="1" applyBorder="1" applyAlignment="1">
      <alignment horizontal="center" vertical="center" wrapText="1"/>
    </xf>
    <xf numFmtId="0" fontId="27" fillId="0" borderId="74" xfId="2" applyFont="1" applyBorder="1" applyAlignment="1">
      <alignment horizontal="center" vertical="center" wrapText="1"/>
    </xf>
    <xf numFmtId="0" fontId="27" fillId="0" borderId="75" xfId="2" applyFont="1" applyBorder="1" applyAlignment="1">
      <alignment horizontal="center" vertical="center" wrapText="1"/>
    </xf>
    <xf numFmtId="169" fontId="27" fillId="0" borderId="73" xfId="2" applyNumberFormat="1" applyFont="1" applyBorder="1" applyAlignment="1">
      <alignment horizontal="center" vertical="center" wrapText="1"/>
    </xf>
    <xf numFmtId="2" fontId="27" fillId="0" borderId="74" xfId="2" applyNumberFormat="1" applyFont="1" applyBorder="1" applyAlignment="1">
      <alignment horizontal="center" vertical="center" wrapText="1"/>
    </xf>
    <xf numFmtId="2" fontId="27" fillId="0" borderId="76" xfId="2" applyNumberFormat="1" applyFont="1" applyBorder="1" applyAlignment="1">
      <alignment horizontal="center" vertical="center" wrapText="1"/>
    </xf>
    <xf numFmtId="166" fontId="27" fillId="0" borderId="77" xfId="2" applyNumberFormat="1" applyFont="1" applyBorder="1" applyAlignment="1">
      <alignment horizontal="center" vertical="center" wrapText="1"/>
    </xf>
    <xf numFmtId="2" fontId="27" fillId="0" borderId="78" xfId="2" applyNumberFormat="1" applyFont="1" applyBorder="1" applyAlignment="1">
      <alignment horizontal="center" vertical="center" wrapText="1"/>
    </xf>
    <xf numFmtId="0" fontId="27" fillId="0" borderId="79" xfId="2" applyFont="1" applyBorder="1"/>
    <xf numFmtId="0" fontId="27" fillId="0" borderId="80" xfId="2" applyFont="1" applyBorder="1" applyAlignment="1">
      <alignment horizontal="center" vertical="center"/>
    </xf>
    <xf numFmtId="0" fontId="27" fillId="0" borderId="81" xfId="2" applyFont="1" applyBorder="1" applyAlignment="1">
      <alignment horizontal="center" vertical="center"/>
    </xf>
    <xf numFmtId="0" fontId="27" fillId="0" borderId="82" xfId="2" applyFont="1" applyBorder="1" applyAlignment="1">
      <alignment horizontal="center" vertical="center"/>
    </xf>
    <xf numFmtId="0" fontId="27" fillId="0" borderId="83" xfId="2" applyFont="1" applyBorder="1" applyAlignment="1">
      <alignment horizontal="center" vertical="center"/>
    </xf>
    <xf numFmtId="169" fontId="27" fillId="0" borderId="84" xfId="2" applyNumberFormat="1" applyFont="1" applyBorder="1" applyAlignment="1">
      <alignment horizontal="center" vertical="center"/>
    </xf>
    <xf numFmtId="2" fontId="27" fillId="0" borderId="82" xfId="2" applyNumberFormat="1" applyFont="1" applyBorder="1" applyAlignment="1">
      <alignment horizontal="center" vertical="center"/>
    </xf>
    <xf numFmtId="2" fontId="27" fillId="0" borderId="85" xfId="2" applyNumberFormat="1" applyFont="1" applyBorder="1" applyAlignment="1">
      <alignment horizontal="center" vertical="center"/>
    </xf>
    <xf numFmtId="0" fontId="27" fillId="0" borderId="86" xfId="2" applyFont="1" applyBorder="1" applyAlignment="1">
      <alignment horizontal="center" vertical="center"/>
    </xf>
    <xf numFmtId="166" fontId="27" fillId="0" borderId="87" xfId="2" applyNumberFormat="1" applyFont="1" applyBorder="1" applyAlignment="1">
      <alignment horizontal="center" vertical="center"/>
    </xf>
    <xf numFmtId="2" fontId="27" fillId="0" borderId="63" xfId="2" applyNumberFormat="1" applyFont="1" applyBorder="1" applyAlignment="1">
      <alignment horizontal="center" vertical="center"/>
    </xf>
    <xf numFmtId="0" fontId="27" fillId="0" borderId="88" xfId="2" applyFont="1" applyBorder="1"/>
    <xf numFmtId="0" fontId="27" fillId="0" borderId="69" xfId="2" applyFont="1" applyBorder="1" applyAlignment="1">
      <alignment horizontal="center" vertical="center"/>
    </xf>
    <xf numFmtId="0" fontId="27" fillId="0" borderId="1" xfId="2" applyFont="1" applyBorder="1" applyAlignment="1">
      <alignment horizontal="center" vertical="center"/>
    </xf>
    <xf numFmtId="0" fontId="27" fillId="0" borderId="70" xfId="2" applyFont="1" applyBorder="1" applyAlignment="1">
      <alignment horizontal="center" vertical="center"/>
    </xf>
    <xf numFmtId="169" fontId="27" fillId="0" borderId="69" xfId="2" applyNumberFormat="1" applyFont="1" applyBorder="1" applyAlignment="1">
      <alignment horizontal="center" vertical="center"/>
    </xf>
    <xf numFmtId="2" fontId="27" fillId="0" borderId="1" xfId="2" applyNumberFormat="1" applyFont="1" applyBorder="1" applyAlignment="1">
      <alignment horizontal="center" vertical="center"/>
    </xf>
    <xf numFmtId="2" fontId="27" fillId="0" borderId="9" xfId="2" applyNumberFormat="1" applyFont="1" applyBorder="1" applyAlignment="1">
      <alignment horizontal="center" vertical="center"/>
    </xf>
    <xf numFmtId="0" fontId="27" fillId="0" borderId="26" xfId="2" applyFont="1" applyBorder="1" applyAlignment="1">
      <alignment horizontal="center" vertical="center"/>
    </xf>
    <xf numFmtId="166" fontId="27" fillId="0" borderId="72" xfId="2" applyNumberFormat="1" applyFont="1" applyBorder="1" applyAlignment="1">
      <alignment horizontal="center" vertical="center"/>
    </xf>
    <xf numFmtId="2" fontId="27" fillId="0" borderId="89" xfId="2" applyNumberFormat="1" applyFont="1" applyBorder="1" applyAlignment="1">
      <alignment horizontal="center" vertical="center"/>
    </xf>
    <xf numFmtId="0" fontId="27" fillId="0" borderId="90" xfId="2" applyFont="1" applyBorder="1"/>
    <xf numFmtId="0" fontId="27" fillId="0" borderId="13" xfId="2" applyFont="1" applyBorder="1" applyAlignment="1">
      <alignment horizontal="center" vertical="center"/>
    </xf>
    <xf numFmtId="169" fontId="27" fillId="0" borderId="80" xfId="2" applyNumberFormat="1" applyFont="1" applyBorder="1" applyAlignment="1">
      <alignment horizontal="center" vertical="center"/>
    </xf>
    <xf numFmtId="2" fontId="27" fillId="0" borderId="81" xfId="2" applyNumberFormat="1" applyFont="1" applyBorder="1" applyAlignment="1">
      <alignment horizontal="center" vertical="center"/>
    </xf>
    <xf numFmtId="2" fontId="27" fillId="0" borderId="91" xfId="2" applyNumberFormat="1" applyFont="1" applyBorder="1" applyAlignment="1">
      <alignment horizontal="center" vertical="center"/>
    </xf>
    <xf numFmtId="0" fontId="27" fillId="0" borderId="92" xfId="2" applyFont="1" applyBorder="1" applyAlignment="1">
      <alignment horizontal="center" vertical="center"/>
    </xf>
    <xf numFmtId="166" fontId="27" fillId="0" borderId="93" xfId="2" applyNumberFormat="1" applyFont="1" applyBorder="1" applyAlignment="1">
      <alignment horizontal="center" vertical="center"/>
    </xf>
    <xf numFmtId="2" fontId="27" fillId="0" borderId="94" xfId="2" applyNumberFormat="1" applyFont="1" applyBorder="1" applyAlignment="1">
      <alignment horizontal="center" vertical="center"/>
    </xf>
    <xf numFmtId="169" fontId="27" fillId="0" borderId="95" xfId="2" applyNumberFormat="1" applyFont="1" applyBorder="1" applyAlignment="1">
      <alignment horizontal="center" vertical="center"/>
    </xf>
    <xf numFmtId="2" fontId="27" fillId="0" borderId="13" xfId="2" applyNumberFormat="1" applyFont="1" applyBorder="1" applyAlignment="1">
      <alignment horizontal="center" vertical="center"/>
    </xf>
    <xf numFmtId="2" fontId="27" fillId="0" borderId="12" xfId="2" applyNumberFormat="1" applyFont="1" applyBorder="1" applyAlignment="1">
      <alignment horizontal="center" vertical="center"/>
    </xf>
    <xf numFmtId="0" fontId="27" fillId="0" borderId="96" xfId="2" applyFont="1" applyBorder="1" applyAlignment="1">
      <alignment horizontal="center" vertical="center"/>
    </xf>
    <xf numFmtId="166" fontId="27" fillId="0" borderId="97" xfId="2" applyNumberFormat="1" applyFont="1" applyBorder="1" applyAlignment="1">
      <alignment horizontal="center" vertical="center"/>
    </xf>
    <xf numFmtId="2" fontId="27" fillId="0" borderId="98" xfId="2" applyNumberFormat="1" applyFont="1" applyBorder="1" applyAlignment="1">
      <alignment horizontal="center" vertical="center"/>
    </xf>
    <xf numFmtId="0" fontId="27" fillId="0" borderId="95" xfId="2" applyFont="1" applyBorder="1" applyAlignment="1">
      <alignment horizontal="center" vertical="center"/>
    </xf>
    <xf numFmtId="0" fontId="27" fillId="0" borderId="99" xfId="2" applyFont="1" applyBorder="1" applyAlignment="1">
      <alignment horizontal="center" vertical="center"/>
    </xf>
    <xf numFmtId="0" fontId="27" fillId="0" borderId="9" xfId="2" applyFont="1" applyBorder="1" applyAlignment="1">
      <alignment horizontal="center" vertical="center"/>
    </xf>
    <xf numFmtId="0" fontId="27" fillId="0" borderId="100" xfId="2" applyFont="1" applyBorder="1" applyAlignment="1">
      <alignment horizontal="center" vertical="center"/>
    </xf>
    <xf numFmtId="0" fontId="27" fillId="0" borderId="101" xfId="2" applyFont="1" applyBorder="1"/>
    <xf numFmtId="0" fontId="27" fillId="0" borderId="102" xfId="2" applyFont="1" applyBorder="1" applyAlignment="1">
      <alignment horizontal="center" vertical="center"/>
    </xf>
    <xf numFmtId="0" fontId="27" fillId="0" borderId="7" xfId="2" applyFont="1" applyBorder="1" applyAlignment="1">
      <alignment horizontal="center" vertical="center"/>
    </xf>
    <xf numFmtId="0" fontId="27" fillId="0" borderId="103" xfId="2" applyFont="1" applyBorder="1" applyAlignment="1">
      <alignment horizontal="center" vertical="center"/>
    </xf>
    <xf numFmtId="169" fontId="27" fillId="0" borderId="102" xfId="2" applyNumberFormat="1" applyFont="1" applyBorder="1" applyAlignment="1">
      <alignment horizontal="center" vertical="center"/>
    </xf>
    <xf numFmtId="2" fontId="27" fillId="0" borderId="7" xfId="2" applyNumberFormat="1" applyFont="1" applyBorder="1" applyAlignment="1">
      <alignment horizontal="center" vertical="center"/>
    </xf>
    <xf numFmtId="2" fontId="27" fillId="0" borderId="11" xfId="2" applyNumberFormat="1" applyFont="1" applyBorder="1" applyAlignment="1">
      <alignment horizontal="center" vertical="center"/>
    </xf>
    <xf numFmtId="0" fontId="27" fillId="0" borderId="104" xfId="2" applyFont="1" applyBorder="1" applyAlignment="1">
      <alignment horizontal="center" vertical="center"/>
    </xf>
    <xf numFmtId="166" fontId="27" fillId="0" borderId="78" xfId="2" applyNumberFormat="1" applyFont="1" applyBorder="1" applyAlignment="1">
      <alignment horizontal="center" vertical="center"/>
    </xf>
    <xf numFmtId="2" fontId="27" fillId="0" borderId="105" xfId="2" applyNumberFormat="1" applyFont="1" applyBorder="1" applyAlignment="1">
      <alignment horizontal="center" vertical="center"/>
    </xf>
    <xf numFmtId="0" fontId="27" fillId="0" borderId="62" xfId="2" applyFont="1" applyBorder="1"/>
    <xf numFmtId="0" fontId="27" fillId="0" borderId="62" xfId="2" applyFont="1" applyBorder="1" applyAlignment="1">
      <alignment horizontal="center" vertical="center"/>
    </xf>
    <xf numFmtId="169" fontId="27" fillId="0" borderId="62" xfId="2" applyNumberFormat="1" applyFont="1" applyBorder="1" applyAlignment="1">
      <alignment horizontal="center" vertical="center"/>
    </xf>
    <xf numFmtId="2" fontId="27" fillId="0" borderId="62" xfId="2" applyNumberFormat="1" applyFont="1" applyBorder="1" applyAlignment="1">
      <alignment horizontal="center" vertical="center"/>
    </xf>
    <xf numFmtId="166" fontId="27" fillId="0" borderId="62" xfId="2" applyNumberFormat="1" applyFont="1" applyBorder="1" applyAlignment="1">
      <alignment horizontal="center" vertical="center"/>
    </xf>
    <xf numFmtId="166" fontId="27" fillId="0" borderId="106" xfId="2" applyNumberFormat="1" applyFont="1" applyBorder="1" applyAlignment="1">
      <alignment horizontal="center" vertical="center"/>
    </xf>
    <xf numFmtId="0" fontId="27" fillId="0" borderId="107" xfId="2" applyFont="1" applyBorder="1" applyAlignment="1">
      <alignment horizontal="center" vertical="center"/>
    </xf>
    <xf numFmtId="0" fontId="27" fillId="0" borderId="108" xfId="2" applyFont="1" applyBorder="1"/>
    <xf numFmtId="0" fontId="27" fillId="0" borderId="73" xfId="2" applyFont="1" applyBorder="1" applyAlignment="1">
      <alignment horizontal="center" vertical="center"/>
    </xf>
    <xf numFmtId="0" fontId="27" fillId="0" borderId="74" xfId="2" applyFont="1" applyBorder="1" applyAlignment="1">
      <alignment horizontal="center" vertical="center"/>
    </xf>
    <xf numFmtId="0" fontId="27" fillId="0" borderId="75" xfId="2" applyFont="1" applyBorder="1" applyAlignment="1">
      <alignment horizontal="center" vertical="center"/>
    </xf>
    <xf numFmtId="169" fontId="27" fillId="0" borderId="73" xfId="2" applyNumberFormat="1" applyFont="1" applyBorder="1" applyAlignment="1">
      <alignment horizontal="center" vertical="center"/>
    </xf>
    <xf numFmtId="2" fontId="27" fillId="0" borderId="74" xfId="2" applyNumberFormat="1" applyFont="1" applyBorder="1" applyAlignment="1">
      <alignment horizontal="center" vertical="center"/>
    </xf>
    <xf numFmtId="2" fontId="27" fillId="0" borderId="76" xfId="2" applyNumberFormat="1" applyFont="1" applyBorder="1" applyAlignment="1">
      <alignment horizontal="center" vertical="center"/>
    </xf>
    <xf numFmtId="0" fontId="27" fillId="0" borderId="109" xfId="2" applyFont="1" applyBorder="1" applyAlignment="1">
      <alignment horizontal="center" vertical="center"/>
    </xf>
    <xf numFmtId="2" fontId="27" fillId="0" borderId="110" xfId="2" applyNumberFormat="1" applyFont="1" applyBorder="1" applyAlignment="1">
      <alignment horizontal="center" vertical="center"/>
    </xf>
    <xf numFmtId="0" fontId="27" fillId="0" borderId="12" xfId="2" applyFont="1" applyBorder="1" applyAlignment="1">
      <alignment horizontal="center" vertical="center"/>
    </xf>
    <xf numFmtId="0" fontId="27" fillId="0" borderId="111" xfId="2" applyFont="1" applyBorder="1" applyAlignment="1">
      <alignment horizontal="center" vertical="center"/>
    </xf>
    <xf numFmtId="0" fontId="27" fillId="0" borderId="112" xfId="2" applyFont="1" applyBorder="1" applyAlignment="1">
      <alignment horizontal="center" vertical="center"/>
    </xf>
    <xf numFmtId="0" fontId="27" fillId="0" borderId="11" xfId="2" applyFont="1" applyBorder="1" applyAlignment="1">
      <alignment horizontal="center" vertical="center"/>
    </xf>
    <xf numFmtId="0" fontId="28" fillId="0" borderId="0" xfId="0" applyFont="1" applyAlignment="1">
      <alignment vertical="center"/>
    </xf>
    <xf numFmtId="0" fontId="35" fillId="0" borderId="81" xfId="0" applyFont="1" applyBorder="1" applyAlignment="1">
      <alignment horizontal="center" vertical="center" wrapText="1"/>
    </xf>
    <xf numFmtId="0" fontId="35" fillId="0" borderId="69" xfId="0" applyFont="1" applyBorder="1" applyAlignment="1">
      <alignment horizontal="center" vertical="center" wrapText="1"/>
    </xf>
    <xf numFmtId="0" fontId="35" fillId="0" borderId="1" xfId="0" applyFont="1" applyBorder="1" applyAlignment="1">
      <alignment horizontal="center" vertical="center" wrapText="1"/>
    </xf>
    <xf numFmtId="2" fontId="35" fillId="0" borderId="70" xfId="0" applyNumberFormat="1" applyFont="1" applyBorder="1" applyAlignment="1">
      <alignment horizontal="center" vertical="center" wrapText="1"/>
    </xf>
    <xf numFmtId="0" fontId="35" fillId="0" borderId="73" xfId="0" applyFont="1" applyBorder="1" applyAlignment="1">
      <alignment horizontal="center" vertical="center" wrapText="1"/>
    </xf>
    <xf numFmtId="0" fontId="35" fillId="0" borderId="74" xfId="0" applyFont="1" applyBorder="1" applyAlignment="1">
      <alignment horizontal="center" vertical="center" wrapText="1"/>
    </xf>
    <xf numFmtId="2" fontId="35" fillId="0" borderId="75" xfId="0" applyNumberFormat="1" applyFont="1" applyBorder="1" applyAlignment="1">
      <alignment horizontal="center" vertical="center" wrapText="1"/>
    </xf>
    <xf numFmtId="2" fontId="35" fillId="0" borderId="80" xfId="0" applyNumberFormat="1" applyFont="1" applyBorder="1" applyAlignment="1">
      <alignment horizontal="center" vertical="center" wrapText="1"/>
    </xf>
    <xf numFmtId="2" fontId="35" fillId="0" borderId="81" xfId="0" applyNumberFormat="1" applyFont="1" applyBorder="1" applyAlignment="1">
      <alignment horizontal="center" vertical="center" wrapText="1"/>
    </xf>
    <xf numFmtId="0" fontId="35" fillId="0" borderId="99" xfId="0" applyFont="1" applyBorder="1" applyAlignment="1">
      <alignment horizontal="center" vertical="center" wrapText="1"/>
    </xf>
    <xf numFmtId="2" fontId="35" fillId="0" borderId="69" xfId="0" applyNumberFormat="1" applyFont="1" applyBorder="1" applyAlignment="1">
      <alignment horizontal="center" vertical="center" wrapText="1"/>
    </xf>
    <xf numFmtId="2" fontId="35" fillId="0" borderId="1" xfId="0" applyNumberFormat="1" applyFont="1" applyBorder="1" applyAlignment="1">
      <alignment horizontal="center" vertical="center" wrapText="1"/>
    </xf>
    <xf numFmtId="0" fontId="35" fillId="0" borderId="70" xfId="0" applyFont="1" applyBorder="1" applyAlignment="1">
      <alignment horizontal="center" vertical="center" wrapText="1"/>
    </xf>
    <xf numFmtId="2" fontId="35" fillId="10" borderId="1" xfId="0" applyNumberFormat="1" applyFont="1" applyFill="1" applyBorder="1" applyAlignment="1">
      <alignment horizontal="center" vertical="center" wrapText="1"/>
    </xf>
    <xf numFmtId="2" fontId="35" fillId="0" borderId="74" xfId="0" applyNumberFormat="1" applyFont="1" applyBorder="1" applyAlignment="1">
      <alignment horizontal="center" vertical="center" wrapText="1"/>
    </xf>
    <xf numFmtId="49" fontId="36" fillId="11" borderId="81" xfId="0" applyNumberFormat="1" applyFont="1" applyFill="1" applyBorder="1" applyAlignment="1">
      <alignment horizontal="center" vertical="center" wrapText="1"/>
    </xf>
    <xf numFmtId="49" fontId="36" fillId="11" borderId="1" xfId="0" applyNumberFormat="1" applyFont="1" applyFill="1" applyBorder="1" applyAlignment="1">
      <alignment horizontal="center" vertical="center" wrapText="1"/>
    </xf>
    <xf numFmtId="0" fontId="36" fillId="11" borderId="1" xfId="0" applyFont="1" applyFill="1" applyBorder="1" applyAlignment="1">
      <alignment horizontal="center" vertical="center" wrapText="1"/>
    </xf>
    <xf numFmtId="0" fontId="36" fillId="11" borderId="74" xfId="0" applyFont="1" applyFill="1" applyBorder="1" applyAlignment="1">
      <alignment horizontal="center" vertical="center" wrapText="1"/>
    </xf>
    <xf numFmtId="0" fontId="37" fillId="0" borderId="81" xfId="0" applyNumberFormat="1" applyFont="1" applyBorder="1" applyAlignment="1">
      <alignment horizontal="center" vertical="center" wrapText="1"/>
    </xf>
    <xf numFmtId="0" fontId="37" fillId="0" borderId="81" xfId="0" applyFont="1" applyBorder="1" applyAlignment="1">
      <alignment horizontal="center" vertical="center" wrapText="1"/>
    </xf>
    <xf numFmtId="2" fontId="37" fillId="0" borderId="99" xfId="0" applyNumberFormat="1" applyFont="1" applyBorder="1" applyAlignment="1">
      <alignment horizontal="center" vertical="center" wrapText="1"/>
    </xf>
    <xf numFmtId="0" fontId="37"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2" fontId="37" fillId="0" borderId="70" xfId="0" applyNumberFormat="1" applyFont="1" applyBorder="1" applyAlignment="1">
      <alignment horizontal="center" vertical="center" wrapText="1"/>
    </xf>
    <xf numFmtId="0" fontId="37" fillId="10" borderId="1" xfId="0" applyNumberFormat="1" applyFont="1" applyFill="1" applyBorder="1" applyAlignment="1">
      <alignment horizontal="center" vertical="center" wrapText="1"/>
    </xf>
    <xf numFmtId="0" fontId="37" fillId="10" borderId="1" xfId="0" applyFont="1" applyFill="1" applyBorder="1" applyAlignment="1">
      <alignment horizontal="center" vertical="center" wrapText="1"/>
    </xf>
    <xf numFmtId="0" fontId="37" fillId="0" borderId="74" xfId="0" applyFont="1" applyBorder="1" applyAlignment="1">
      <alignment horizontal="center" vertical="center" wrapText="1"/>
    </xf>
    <xf numFmtId="2" fontId="37" fillId="0" borderId="75" xfId="0" applyNumberFormat="1" applyFont="1" applyBorder="1" applyAlignment="1">
      <alignment horizontal="center" vertical="center" wrapText="1"/>
    </xf>
    <xf numFmtId="0" fontId="37" fillId="0" borderId="80" xfId="0" applyFont="1" applyBorder="1" applyAlignment="1">
      <alignment horizontal="center" vertical="center" wrapText="1"/>
    </xf>
    <xf numFmtId="0" fontId="37" fillId="0" borderId="69" xfId="0" applyFont="1" applyBorder="1" applyAlignment="1">
      <alignment horizontal="center" vertical="center" wrapText="1"/>
    </xf>
    <xf numFmtId="0" fontId="37" fillId="0" borderId="73" xfId="0" applyFont="1" applyBorder="1" applyAlignment="1">
      <alignment horizontal="center" vertical="center" wrapText="1"/>
    </xf>
    <xf numFmtId="0" fontId="38" fillId="12" borderId="73" xfId="0" applyFont="1" applyFill="1" applyBorder="1" applyAlignment="1">
      <alignment horizontal="center" vertical="center" wrapText="1"/>
    </xf>
    <xf numFmtId="0" fontId="38" fillId="12" borderId="74" xfId="0" applyFont="1" applyFill="1" applyBorder="1" applyAlignment="1">
      <alignment horizontal="center" vertical="center" wrapText="1"/>
    </xf>
    <xf numFmtId="0" fontId="28" fillId="0" borderId="1" xfId="0" applyFont="1" applyBorder="1" applyAlignment="1">
      <alignment vertical="center"/>
    </xf>
    <xf numFmtId="2" fontId="35" fillId="14" borderId="1" xfId="0" applyNumberFormat="1" applyFont="1" applyFill="1" applyBorder="1" applyAlignment="1">
      <alignment horizontal="center" vertical="center" wrapText="1"/>
    </xf>
    <xf numFmtId="2" fontId="35" fillId="0" borderId="1" xfId="0" applyNumberFormat="1" applyFont="1" applyFill="1" applyBorder="1" applyAlignment="1">
      <alignment horizontal="center" vertical="center" wrapText="1"/>
    </xf>
    <xf numFmtId="2" fontId="35" fillId="14" borderId="70" xfId="0" applyNumberFormat="1" applyFont="1" applyFill="1" applyBorder="1" applyAlignment="1">
      <alignment horizontal="center" vertical="center" wrapText="1"/>
    </xf>
    <xf numFmtId="2" fontId="28" fillId="0" borderId="1" xfId="0" applyNumberFormat="1" applyFont="1" applyBorder="1" applyAlignment="1">
      <alignment vertical="center"/>
    </xf>
    <xf numFmtId="0" fontId="37" fillId="0" borderId="1" xfId="0" applyNumberFormat="1" applyFont="1" applyFill="1" applyBorder="1" applyAlignment="1">
      <alignment horizontal="center" vertical="center" wrapText="1"/>
    </xf>
    <xf numFmtId="0" fontId="37" fillId="0" borderId="1" xfId="0" applyFont="1" applyFill="1" applyBorder="1" applyAlignment="1">
      <alignment horizontal="center" vertical="center" wrapText="1"/>
    </xf>
    <xf numFmtId="2" fontId="37" fillId="0" borderId="70" xfId="0" applyNumberFormat="1" applyFont="1" applyFill="1" applyBorder="1" applyAlignment="1">
      <alignment horizontal="center" vertical="center" wrapText="1"/>
    </xf>
    <xf numFmtId="0" fontId="35" fillId="0" borderId="69" xfId="0" applyFont="1" applyFill="1" applyBorder="1" applyAlignment="1">
      <alignment horizontal="center" vertical="center" wrapText="1"/>
    </xf>
    <xf numFmtId="0" fontId="35" fillId="0" borderId="1" xfId="0" applyFont="1" applyFill="1" applyBorder="1" applyAlignment="1">
      <alignment horizontal="center" vertical="center" wrapText="1"/>
    </xf>
    <xf numFmtId="166" fontId="35" fillId="0" borderId="1" xfId="0" applyNumberFormat="1" applyFont="1" applyFill="1" applyBorder="1" applyAlignment="1">
      <alignment horizontal="center" vertical="center" wrapText="1"/>
    </xf>
    <xf numFmtId="2" fontId="35" fillId="0" borderId="70" xfId="0" applyNumberFormat="1" applyFont="1" applyFill="1" applyBorder="1" applyAlignment="1">
      <alignment horizontal="center" vertical="center" wrapText="1"/>
    </xf>
    <xf numFmtId="0" fontId="27" fillId="0" borderId="0" xfId="2" applyFont="1" applyAlignment="1">
      <alignment horizontal="center" vertical="center" wrapText="1"/>
    </xf>
    <xf numFmtId="0" fontId="27" fillId="0" borderId="67" xfId="2" applyFont="1" applyBorder="1" applyAlignment="1">
      <alignment horizontal="center" vertical="center" wrapText="1"/>
    </xf>
    <xf numFmtId="0" fontId="27" fillId="0" borderId="79" xfId="2" applyFont="1" applyBorder="1" applyAlignment="1">
      <alignment horizontal="center" vertical="center" wrapText="1"/>
    </xf>
    <xf numFmtId="0" fontId="27" fillId="0" borderId="88" xfId="2" applyFont="1" applyBorder="1" applyAlignment="1">
      <alignment horizontal="center" vertical="center" wrapText="1"/>
    </xf>
    <xf numFmtId="0" fontId="27" fillId="0" borderId="108" xfId="2" applyFont="1" applyBorder="1" applyAlignment="1">
      <alignment horizontal="center" vertical="center" wrapText="1"/>
    </xf>
    <xf numFmtId="0" fontId="27" fillId="0" borderId="80" xfId="2" applyFont="1" applyBorder="1" applyAlignment="1">
      <alignment horizontal="center" vertical="center" wrapText="1"/>
    </xf>
    <xf numFmtId="0" fontId="27" fillId="0" borderId="81" xfId="2" applyFont="1" applyBorder="1" applyAlignment="1">
      <alignment horizontal="center" vertical="center" wrapText="1"/>
    </xf>
    <xf numFmtId="0" fontId="27" fillId="0" borderId="99" xfId="2" applyFont="1" applyBorder="1" applyAlignment="1">
      <alignment horizontal="center" vertical="center" wrapText="1"/>
    </xf>
    <xf numFmtId="0" fontId="27" fillId="0" borderId="69" xfId="2" applyFont="1" applyBorder="1" applyAlignment="1">
      <alignment horizontal="center" vertical="center" wrapText="1"/>
    </xf>
    <xf numFmtId="0" fontId="27" fillId="0" borderId="1" xfId="2" applyFont="1" applyBorder="1" applyAlignment="1">
      <alignment horizontal="center" vertical="center" wrapText="1"/>
    </xf>
    <xf numFmtId="0" fontId="27" fillId="0" borderId="70" xfId="2" applyFont="1" applyBorder="1" applyAlignment="1">
      <alignment horizontal="center" vertical="center" wrapText="1"/>
    </xf>
    <xf numFmtId="0" fontId="27" fillId="0" borderId="84" xfId="2" applyFont="1" applyBorder="1" applyAlignment="1">
      <alignment horizontal="center" vertical="center" wrapText="1"/>
    </xf>
    <xf numFmtId="0" fontId="27" fillId="0" borderId="82" xfId="2" applyFont="1" applyBorder="1" applyAlignment="1">
      <alignment horizontal="center" vertical="center" wrapText="1"/>
    </xf>
    <xf numFmtId="0" fontId="27" fillId="0" borderId="83" xfId="2" applyFont="1" applyBorder="1" applyAlignment="1">
      <alignment horizontal="center" vertical="center" wrapText="1"/>
    </xf>
    <xf numFmtId="166" fontId="27" fillId="0" borderId="113" xfId="2" applyNumberFormat="1" applyFont="1" applyBorder="1" applyAlignment="1">
      <alignment horizontal="center" vertical="center" wrapText="1"/>
    </xf>
    <xf numFmtId="166" fontId="27" fillId="0" borderId="71" xfId="2" applyNumberFormat="1" applyFont="1" applyBorder="1" applyAlignment="1">
      <alignment horizontal="center" vertical="center" wrapText="1"/>
    </xf>
    <xf numFmtId="2" fontId="27" fillId="0" borderId="93" xfId="2" applyNumberFormat="1" applyFont="1" applyBorder="1" applyAlignment="1">
      <alignment horizontal="center" vertical="center" wrapText="1"/>
    </xf>
    <xf numFmtId="2" fontId="27" fillId="0" borderId="72" xfId="2" applyNumberFormat="1" applyFont="1" applyBorder="1" applyAlignment="1">
      <alignment horizontal="center" vertical="center" wrapText="1"/>
    </xf>
    <xf numFmtId="0" fontId="27" fillId="0" borderId="91" xfId="2" applyFont="1" applyBorder="1" applyAlignment="1">
      <alignment horizontal="center" vertical="center" wrapText="1"/>
    </xf>
    <xf numFmtId="0" fontId="4" fillId="0" borderId="17" xfId="0" applyFont="1" applyBorder="1" applyAlignment="1">
      <alignment horizontal="center"/>
    </xf>
    <xf numFmtId="0" fontId="4" fillId="0" borderId="19" xfId="0" applyFont="1" applyBorder="1" applyAlignment="1">
      <alignment horizontal="center"/>
    </xf>
    <xf numFmtId="0" fontId="4" fillId="0" borderId="20" xfId="0" applyFont="1" applyBorder="1" applyAlignment="1">
      <alignment horizontal="center"/>
    </xf>
    <xf numFmtId="0" fontId="9" fillId="0" borderId="49" xfId="0" applyFont="1" applyBorder="1" applyAlignment="1">
      <alignment horizontal="center" vertical="center"/>
    </xf>
    <xf numFmtId="0" fontId="9" fillId="0" borderId="35" xfId="0" applyFont="1" applyBorder="1" applyAlignment="1">
      <alignment horizontal="center" vertical="center"/>
    </xf>
    <xf numFmtId="0" fontId="9" fillId="0" borderId="36" xfId="0" applyFont="1" applyBorder="1" applyAlignment="1">
      <alignment horizontal="center" vertical="center"/>
    </xf>
    <xf numFmtId="0" fontId="9" fillId="0" borderId="0" xfId="0" applyFont="1" applyBorder="1" applyAlignment="1">
      <alignment horizontal="center" vertical="center"/>
    </xf>
    <xf numFmtId="0" fontId="17" fillId="0" borderId="22" xfId="0" applyFont="1" applyBorder="1" applyAlignment="1">
      <alignment horizontal="center" vertical="center"/>
    </xf>
    <xf numFmtId="0" fontId="9" fillId="0" borderId="45" xfId="0" applyFont="1" applyBorder="1" applyAlignment="1">
      <alignment horizontal="center" vertical="center"/>
    </xf>
    <xf numFmtId="0" fontId="9" fillId="0" borderId="114" xfId="0" applyFont="1" applyBorder="1" applyAlignment="1">
      <alignment horizontal="center" vertical="center"/>
    </xf>
    <xf numFmtId="0" fontId="9" fillId="0" borderId="115" xfId="0" applyFont="1" applyBorder="1" applyAlignment="1">
      <alignment horizontal="center" vertical="center"/>
    </xf>
    <xf numFmtId="0" fontId="4" fillId="0" borderId="3" xfId="0" applyFont="1" applyBorder="1" applyAlignment="1">
      <alignment horizontal="center" vertical="center"/>
    </xf>
    <xf numFmtId="164" fontId="0" fillId="0" borderId="8" xfId="0" applyNumberFormat="1" applyBorder="1" applyAlignment="1">
      <alignment horizontal="center" vertical="center"/>
    </xf>
    <xf numFmtId="164" fontId="0" fillId="0" borderId="15" xfId="0" applyNumberFormat="1" applyBorder="1" applyAlignment="1">
      <alignment horizontal="center" vertical="center"/>
    </xf>
    <xf numFmtId="164" fontId="0" fillId="0" borderId="116" xfId="0" applyNumberFormat="1" applyBorder="1" applyAlignment="1">
      <alignment horizontal="center" vertical="center"/>
    </xf>
    <xf numFmtId="0" fontId="0" fillId="0" borderId="7" xfId="0" applyBorder="1" applyAlignment="1">
      <alignment horizontal="center" vertical="center"/>
    </xf>
    <xf numFmtId="0" fontId="0" fillId="0" borderId="3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164" fontId="0" fillId="0" borderId="16" xfId="0" applyNumberFormat="1" applyBorder="1" applyAlignment="1">
      <alignment horizontal="center" vertical="center"/>
    </xf>
    <xf numFmtId="168" fontId="4" fillId="0" borderId="21" xfId="0" applyNumberFormat="1" applyFont="1" applyBorder="1" applyAlignment="1">
      <alignment horizontal="center" vertical="center"/>
    </xf>
    <xf numFmtId="168" fontId="4" fillId="0" borderId="31" xfId="0" applyNumberFormat="1" applyFont="1" applyBorder="1" applyAlignment="1">
      <alignment horizontal="center" vertical="center"/>
    </xf>
    <xf numFmtId="168" fontId="4" fillId="0" borderId="18" xfId="0" applyNumberFormat="1" applyFont="1" applyBorder="1" applyAlignment="1">
      <alignment horizontal="center" vertical="center"/>
    </xf>
    <xf numFmtId="168" fontId="4" fillId="0" borderId="118" xfId="0" applyNumberFormat="1" applyFont="1" applyBorder="1" applyAlignment="1">
      <alignment horizontal="center" vertical="center"/>
    </xf>
    <xf numFmtId="0" fontId="4" fillId="0" borderId="30" xfId="0" applyFont="1" applyBorder="1" applyAlignment="1">
      <alignment horizont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17" xfId="0" applyFont="1" applyBorder="1" applyAlignment="1">
      <alignment horizontal="center" vertical="center"/>
    </xf>
    <xf numFmtId="0" fontId="4" fillId="0" borderId="12" xfId="0" applyFont="1" applyBorder="1" applyAlignment="1">
      <alignment horizontal="center" vertical="center"/>
    </xf>
    <xf numFmtId="168" fontId="7" fillId="4" borderId="10" xfId="3" applyNumberFormat="1" applyFont="1" applyFill="1" applyBorder="1" applyAlignment="1" applyProtection="1">
      <alignment horizontal="center" vertical="center"/>
      <protection locked="0"/>
    </xf>
    <xf numFmtId="168" fontId="7" fillId="4" borderId="117" xfId="3" applyNumberFormat="1" applyFont="1" applyFill="1" applyBorder="1" applyAlignment="1" applyProtection="1">
      <alignment horizontal="center" vertical="center"/>
      <protection locked="0"/>
    </xf>
    <xf numFmtId="168" fontId="25" fillId="0" borderId="21" xfId="0" applyNumberFormat="1" applyFont="1" applyBorder="1" applyAlignment="1">
      <alignment horizontal="center" vertical="center"/>
    </xf>
    <xf numFmtId="168" fontId="25" fillId="0" borderId="31" xfId="0" applyNumberFormat="1" applyFont="1" applyBorder="1" applyAlignment="1">
      <alignment horizontal="center" vertical="center"/>
    </xf>
    <xf numFmtId="168" fontId="25" fillId="0" borderId="18" xfId="0" applyNumberFormat="1" applyFont="1" applyBorder="1" applyAlignment="1">
      <alignment horizontal="center" vertical="center"/>
    </xf>
    <xf numFmtId="168" fontId="25" fillId="0" borderId="118" xfId="0" applyNumberFormat="1" applyFont="1" applyBorder="1" applyAlignment="1">
      <alignment horizontal="center" vertical="center"/>
    </xf>
    <xf numFmtId="0" fontId="25" fillId="0" borderId="21" xfId="0" applyFont="1" applyBorder="1" applyAlignment="1">
      <alignment horizontal="center" vertical="center"/>
    </xf>
    <xf numFmtId="0" fontId="25" fillId="0" borderId="31" xfId="0" applyFont="1" applyBorder="1" applyAlignment="1">
      <alignment horizontal="center" vertical="center"/>
    </xf>
    <xf numFmtId="0" fontId="25" fillId="0" borderId="18" xfId="0" applyFont="1" applyBorder="1" applyAlignment="1">
      <alignment horizontal="center" vertical="center"/>
    </xf>
    <xf numFmtId="168" fontId="25" fillId="0" borderId="3" xfId="0" applyNumberFormat="1" applyFont="1" applyBorder="1" applyAlignment="1">
      <alignment horizontal="center" vertical="center"/>
    </xf>
    <xf numFmtId="168" fontId="25" fillId="0" borderId="4" xfId="0" applyNumberFormat="1" applyFont="1" applyBorder="1" applyAlignment="1">
      <alignment horizontal="center" vertical="center"/>
    </xf>
    <xf numFmtId="0" fontId="25" fillId="0" borderId="118" xfId="0" applyFont="1" applyBorder="1" applyAlignment="1">
      <alignment horizontal="center" vertical="center"/>
    </xf>
    <xf numFmtId="0" fontId="0" fillId="0" borderId="7" xfId="0" quotePrefix="1" applyBorder="1" applyAlignment="1">
      <alignment horizontal="center" vertical="center"/>
    </xf>
    <xf numFmtId="0" fontId="0" fillId="0" borderId="32" xfId="0" quotePrefix="1" applyBorder="1" applyAlignment="1">
      <alignment horizontal="center" vertical="center"/>
    </xf>
    <xf numFmtId="0" fontId="0" fillId="0" borderId="13" xfId="0" quotePrefix="1" applyBorder="1" applyAlignment="1">
      <alignment horizontal="center" vertical="center"/>
    </xf>
    <xf numFmtId="0" fontId="4" fillId="0" borderId="21" xfId="0" applyFont="1" applyBorder="1" applyAlignment="1">
      <alignment horizontal="center" vertical="center"/>
    </xf>
    <xf numFmtId="0" fontId="4" fillId="0" borderId="118" xfId="0" applyFont="1" applyBorder="1" applyAlignment="1">
      <alignment horizontal="center" vertical="center"/>
    </xf>
    <xf numFmtId="0" fontId="0" fillId="0" borderId="14" xfId="0" quotePrefix="1" applyBorder="1" applyAlignment="1">
      <alignment horizontal="center" vertical="center"/>
    </xf>
    <xf numFmtId="0" fontId="4" fillId="0" borderId="18" xfId="0" applyFont="1" applyBorder="1" applyAlignment="1">
      <alignment horizontal="center" vertical="center"/>
    </xf>
    <xf numFmtId="0" fontId="4" fillId="0" borderId="31" xfId="0" applyFont="1" applyBorder="1" applyAlignment="1">
      <alignment horizontal="center" vertical="center"/>
    </xf>
    <xf numFmtId="0" fontId="0" fillId="0" borderId="1" xfId="0" quotePrefix="1" applyBorder="1" applyAlignment="1">
      <alignment horizontal="center" vertical="center"/>
    </xf>
    <xf numFmtId="0" fontId="4" fillId="0" borderId="13" xfId="0" applyFont="1" applyBorder="1" applyAlignment="1">
      <alignment horizontal="center"/>
    </xf>
    <xf numFmtId="0" fontId="4" fillId="0" borderId="15" xfId="0" applyFont="1" applyBorder="1" applyAlignment="1">
      <alignment horizontal="center"/>
    </xf>
    <xf numFmtId="0" fontId="4" fillId="0" borderId="22" xfId="0" applyFont="1" applyBorder="1" applyAlignment="1">
      <alignment horizontal="center"/>
    </xf>
    <xf numFmtId="0" fontId="25" fillId="0" borderId="3" xfId="0" applyFont="1" applyBorder="1" applyAlignment="1">
      <alignment horizontal="center" vertical="center"/>
    </xf>
    <xf numFmtId="0" fontId="4" fillId="0" borderId="0" xfId="0" applyFont="1" applyBorder="1" applyAlignment="1">
      <alignment horizontal="center"/>
    </xf>
    <xf numFmtId="0" fontId="4" fillId="0" borderId="22" xfId="0" applyFont="1"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6" xfId="0" applyBorder="1" applyAlignment="1">
      <alignment horizontal="center" vertical="center"/>
    </xf>
    <xf numFmtId="0" fontId="0" fillId="0" borderId="9" xfId="0" applyBorder="1" applyAlignment="1">
      <alignment horizontal="center" vertical="center"/>
    </xf>
    <xf numFmtId="0" fontId="12" fillId="0" borderId="22" xfId="0" applyFont="1" applyBorder="1" applyAlignment="1">
      <alignment horizontal="center" vertical="center" wrapText="1"/>
    </xf>
    <xf numFmtId="0" fontId="4" fillId="0" borderId="22" xfId="0" applyFont="1" applyBorder="1" applyAlignment="1">
      <alignment horizontal="left" vertical="center"/>
    </xf>
    <xf numFmtId="0" fontId="0" fillId="0" borderId="1" xfId="0" applyBorder="1" applyAlignment="1">
      <alignment horizontal="center" vertical="center"/>
    </xf>
    <xf numFmtId="0" fontId="16" fillId="0" borderId="29" xfId="0" applyFont="1" applyBorder="1" applyAlignment="1">
      <alignment horizontal="center" vertical="center" wrapText="1"/>
    </xf>
    <xf numFmtId="0" fontId="16" fillId="0" borderId="30" xfId="0" applyFont="1" applyBorder="1" applyAlignment="1">
      <alignment horizontal="center" vertical="center" wrapText="1"/>
    </xf>
    <xf numFmtId="0" fontId="4" fillId="0" borderId="26" xfId="0" applyFont="1" applyBorder="1" applyAlignment="1">
      <alignment horizontal="center" vertical="center"/>
    </xf>
    <xf numFmtId="0" fontId="4" fillId="0" borderId="9" xfId="0" applyFont="1" applyBorder="1" applyAlignment="1">
      <alignment horizontal="center" vertical="center"/>
    </xf>
    <xf numFmtId="0" fontId="16" fillId="0" borderId="19"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1" xfId="0" applyFont="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6" fillId="0" borderId="119" xfId="0" applyFont="1" applyBorder="1" applyAlignment="1">
      <alignment horizontal="center" vertical="center" wrapText="1"/>
    </xf>
    <xf numFmtId="0" fontId="16" fillId="0" borderId="22" xfId="0" applyFont="1" applyBorder="1" applyAlignment="1">
      <alignment horizontal="center" vertical="center" wrapText="1"/>
    </xf>
    <xf numFmtId="0" fontId="4" fillId="0" borderId="17" xfId="0" applyFont="1" applyBorder="1" applyAlignment="1">
      <alignment horizontal="center" vertical="center"/>
    </xf>
    <xf numFmtId="0" fontId="4" fillId="0" borderId="17" xfId="0" applyFont="1" applyBorder="1"/>
    <xf numFmtId="0" fontId="4" fillId="0" borderId="19" xfId="0" applyFont="1" applyBorder="1"/>
    <xf numFmtId="0" fontId="4" fillId="0" borderId="3" xfId="0" applyFont="1" applyBorder="1" applyAlignment="1">
      <alignment horizontal="center"/>
    </xf>
    <xf numFmtId="0" fontId="4" fillId="0" borderId="1" xfId="0" applyFont="1" applyBorder="1" applyAlignment="1">
      <alignment horizontal="center"/>
    </xf>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39" fillId="12" borderId="81" xfId="0" applyFont="1" applyFill="1" applyBorder="1" applyAlignment="1">
      <alignment horizontal="center" vertical="center" wrapText="1"/>
    </xf>
    <xf numFmtId="0" fontId="39" fillId="12" borderId="74" xfId="0" applyFont="1" applyFill="1" applyBorder="1" applyAlignment="1">
      <alignment horizontal="center" vertical="center" wrapText="1"/>
    </xf>
    <xf numFmtId="0" fontId="40" fillId="0" borderId="62" xfId="1" applyFont="1" applyBorder="1" applyAlignment="1" applyProtection="1">
      <alignment horizontal="center" vertical="center"/>
    </xf>
    <xf numFmtId="0" fontId="29" fillId="0" borderId="62" xfId="0" applyFont="1" applyBorder="1" applyAlignment="1">
      <alignment horizontal="center" vertical="center"/>
    </xf>
    <xf numFmtId="0" fontId="38" fillId="12" borderId="80" xfId="0" applyFont="1" applyFill="1" applyBorder="1" applyAlignment="1">
      <alignment horizontal="center" vertical="center" wrapText="1"/>
    </xf>
    <xf numFmtId="0" fontId="38" fillId="12" borderId="81" xfId="0" applyFont="1" applyFill="1" applyBorder="1" applyAlignment="1">
      <alignment horizontal="center" vertical="center" wrapText="1"/>
    </xf>
    <xf numFmtId="0" fontId="38" fillId="12" borderId="74" xfId="0" applyFont="1" applyFill="1" applyBorder="1" applyAlignment="1">
      <alignment horizontal="center" vertical="center" wrapText="1"/>
    </xf>
    <xf numFmtId="0" fontId="39" fillId="12" borderId="99" xfId="0" applyFont="1" applyFill="1" applyBorder="1" applyAlignment="1">
      <alignment horizontal="center" vertical="center" wrapText="1"/>
    </xf>
    <xf numFmtId="0" fontId="39" fillId="12" borderId="75" xfId="0" applyFont="1" applyFill="1" applyBorder="1" applyAlignment="1">
      <alignment horizontal="center" vertical="center" wrapText="1"/>
    </xf>
    <xf numFmtId="0" fontId="4" fillId="0" borderId="19" xfId="0" applyFont="1" applyBorder="1" applyAlignment="1">
      <alignment vertical="top" wrapText="1"/>
    </xf>
    <xf numFmtId="0" fontId="4" fillId="0" borderId="0" xfId="0" applyFont="1" applyAlignment="1">
      <alignment vertical="center"/>
    </xf>
    <xf numFmtId="0" fontId="4" fillId="0" borderId="22" xfId="0" applyFont="1" applyBorder="1" applyAlignment="1">
      <alignment vertical="center"/>
    </xf>
    <xf numFmtId="0" fontId="14" fillId="0" borderId="0" xfId="0" applyFont="1" applyBorder="1" applyAlignment="1">
      <alignment horizontal="left" vertical="center" wrapText="1"/>
    </xf>
    <xf numFmtId="0" fontId="20" fillId="0" borderId="0" xfId="0" applyFont="1" applyBorder="1" applyAlignment="1">
      <alignment horizontal="left"/>
    </xf>
    <xf numFmtId="0" fontId="14" fillId="0" borderId="0" xfId="0" applyFont="1" applyBorder="1" applyAlignment="1">
      <alignment horizontal="left"/>
    </xf>
    <xf numFmtId="0" fontId="13" fillId="0" borderId="0" xfId="0" applyFont="1" applyBorder="1" applyAlignment="1">
      <alignment horizontal="center"/>
    </xf>
    <xf numFmtId="0" fontId="16" fillId="0" borderId="0" xfId="0" applyFont="1" applyBorder="1" applyAlignment="1">
      <alignment horizontal="center"/>
    </xf>
    <xf numFmtId="0" fontId="4" fillId="0" borderId="120" xfId="0" applyFont="1" applyFill="1" applyBorder="1" applyAlignment="1">
      <alignment horizontal="center"/>
    </xf>
    <xf numFmtId="0" fontId="4" fillId="0" borderId="121" xfId="0" applyFont="1" applyFill="1" applyBorder="1" applyAlignment="1">
      <alignment horizontal="center"/>
    </xf>
    <xf numFmtId="0" fontId="4" fillId="0" borderId="122" xfId="0" applyFont="1" applyFill="1" applyBorder="1" applyAlignment="1">
      <alignment horizontal="center"/>
    </xf>
    <xf numFmtId="0" fontId="12" fillId="0" borderId="39" xfId="0" applyFont="1" applyBorder="1" applyAlignment="1">
      <alignment horizontal="center"/>
    </xf>
    <xf numFmtId="0" fontId="12" fillId="0" borderId="54" xfId="0" applyFont="1" applyBorder="1" applyAlignment="1">
      <alignment horizontal="center"/>
    </xf>
    <xf numFmtId="0" fontId="12" fillId="0" borderId="41" xfId="0" applyFont="1" applyBorder="1" applyAlignment="1">
      <alignment horizontal="center"/>
    </xf>
    <xf numFmtId="0" fontId="12" fillId="0" borderId="123" xfId="0" applyFont="1" applyBorder="1" applyAlignment="1">
      <alignment horizontal="center"/>
    </xf>
    <xf numFmtId="0" fontId="12" fillId="0" borderId="124" xfId="0" applyFont="1" applyBorder="1" applyAlignment="1">
      <alignment horizontal="center"/>
    </xf>
    <xf numFmtId="0" fontId="12" fillId="0" borderId="125" xfId="0" applyFont="1" applyBorder="1" applyAlignment="1">
      <alignment horizontal="center"/>
    </xf>
    <xf numFmtId="0" fontId="2" fillId="0" borderId="126" xfId="0" applyFont="1" applyBorder="1" applyAlignment="1">
      <alignment horizontal="center" vertical="center" wrapText="1"/>
    </xf>
    <xf numFmtId="0" fontId="2" fillId="0" borderId="127" xfId="0" applyFont="1" applyBorder="1" applyAlignment="1">
      <alignment horizontal="center" vertical="center" wrapText="1"/>
    </xf>
    <xf numFmtId="0" fontId="2" fillId="0" borderId="128" xfId="0" applyFont="1" applyBorder="1" applyAlignment="1">
      <alignment horizontal="center" vertical="center" wrapText="1"/>
    </xf>
    <xf numFmtId="0" fontId="2" fillId="0" borderId="129" xfId="0" applyFont="1" applyBorder="1" applyAlignment="1">
      <alignment horizontal="center" vertical="center" wrapText="1"/>
    </xf>
    <xf numFmtId="0" fontId="2" fillId="0" borderId="130" xfId="0" applyFont="1" applyBorder="1" applyAlignment="1">
      <alignment horizontal="center" vertical="center" wrapText="1"/>
    </xf>
    <xf numFmtId="0" fontId="2" fillId="0" borderId="13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6" xfId="0" applyFont="1" applyBorder="1" applyAlignment="1">
      <alignment horizontal="center" vertical="center" wrapText="1"/>
    </xf>
    <xf numFmtId="0" fontId="12" fillId="0" borderId="0" xfId="0" applyFont="1" applyAlignment="1">
      <alignment vertical="center" wrapText="1"/>
    </xf>
    <xf numFmtId="0" fontId="12" fillId="0" borderId="0" xfId="0" applyFont="1" applyBorder="1" applyAlignment="1">
      <alignment vertical="center" wrapText="1"/>
    </xf>
    <xf numFmtId="0" fontId="4" fillId="0" borderId="23"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 xfId="0" applyFont="1" applyFill="1" applyBorder="1" applyAlignment="1">
      <alignment horizontal="center"/>
    </xf>
    <xf numFmtId="0" fontId="4" fillId="0" borderId="2" xfId="0" applyFont="1" applyFill="1" applyBorder="1" applyAlignment="1">
      <alignment horizontal="center"/>
    </xf>
    <xf numFmtId="0" fontId="4" fillId="0" borderId="45" xfId="0" applyFont="1" applyBorder="1" applyAlignment="1">
      <alignment horizontal="center"/>
    </xf>
    <xf numFmtId="0" fontId="4" fillId="0" borderId="115" xfId="0" applyFont="1" applyBorder="1" applyAlignment="1">
      <alignment horizontal="center"/>
    </xf>
    <xf numFmtId="0" fontId="4" fillId="0" borderId="1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6" xfId="0" applyFont="1" applyBorder="1" applyAlignment="1">
      <alignment horizontal="center"/>
    </xf>
    <xf numFmtId="0" fontId="4" fillId="0" borderId="71" xfId="0" applyFont="1" applyBorder="1" applyAlignment="1">
      <alignment horizontal="center"/>
    </xf>
    <xf numFmtId="0" fontId="4" fillId="0" borderId="132" xfId="0" quotePrefix="1" applyFont="1" applyBorder="1"/>
    <xf numFmtId="0" fontId="4" fillId="0" borderId="45" xfId="0" quotePrefix="1" applyFont="1" applyBorder="1"/>
    <xf numFmtId="0" fontId="4" fillId="0" borderId="2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xf>
    <xf numFmtId="0" fontId="23" fillId="13" borderId="0" xfId="0" applyFont="1" applyFill="1" applyAlignment="1">
      <alignment horizontal="left" vertical="top" wrapText="1"/>
    </xf>
    <xf numFmtId="0" fontId="41" fillId="8" borderId="135" xfId="0" applyFont="1" applyFill="1" applyBorder="1" applyAlignment="1">
      <alignment horizontal="left" vertical="top" wrapText="1"/>
    </xf>
    <xf numFmtId="0" fontId="41" fillId="8" borderId="136" xfId="0" applyFont="1" applyFill="1" applyBorder="1" applyAlignment="1">
      <alignment horizontal="left" vertical="top" wrapText="1"/>
    </xf>
    <xf numFmtId="0" fontId="30" fillId="0" borderId="137" xfId="1" applyBorder="1" applyAlignment="1" applyProtection="1">
      <alignment horizontal="center"/>
    </xf>
    <xf numFmtId="0" fontId="0" fillId="0" borderId="137" xfId="0" applyBorder="1" applyAlignment="1">
      <alignment horizontal="center"/>
    </xf>
    <xf numFmtId="0" fontId="30" fillId="0" borderId="0" xfId="1" applyAlignment="1" applyProtection="1">
      <alignment horizontal="center"/>
    </xf>
    <xf numFmtId="0" fontId="0" fillId="0" borderId="0" xfId="0" applyAlignment="1">
      <alignment horizontal="center"/>
    </xf>
    <xf numFmtId="0" fontId="14" fillId="4" borderId="0" xfId="4" applyFont="1" applyFill="1" applyAlignment="1">
      <alignment horizontal="left"/>
    </xf>
    <xf numFmtId="0" fontId="14" fillId="4" borderId="0" xfId="4" applyFont="1" applyFill="1" applyAlignment="1">
      <alignment horizontal="center"/>
    </xf>
    <xf numFmtId="0" fontId="14" fillId="4" borderId="0" xfId="4" applyFont="1" applyFill="1" applyBorder="1" applyAlignment="1">
      <alignment horizontal="center"/>
    </xf>
    <xf numFmtId="1" fontId="14" fillId="4" borderId="0" xfId="4" applyNumberFormat="1" applyFont="1" applyFill="1" applyAlignment="1">
      <alignment horizontal="center"/>
    </xf>
    <xf numFmtId="2" fontId="14" fillId="4" borderId="0" xfId="4" applyNumberFormat="1" applyFont="1" applyFill="1" applyAlignment="1">
      <alignment horizontal="center"/>
    </xf>
    <xf numFmtId="0" fontId="43" fillId="4" borderId="0" xfId="4" applyFont="1" applyFill="1" applyAlignment="1">
      <alignment horizontal="center"/>
    </xf>
    <xf numFmtId="0" fontId="44" fillId="4" borderId="0" xfId="4" applyFont="1" applyFill="1" applyAlignment="1">
      <alignment horizontal="left" vertical="center"/>
    </xf>
    <xf numFmtId="0" fontId="14" fillId="4" borderId="0" xfId="4" applyFont="1" applyFill="1" applyAlignment="1">
      <alignment horizontal="left" vertical="center"/>
    </xf>
    <xf numFmtId="0" fontId="42" fillId="4" borderId="0" xfId="4" applyFill="1"/>
    <xf numFmtId="0" fontId="45" fillId="4" borderId="0" xfId="4" applyFont="1" applyFill="1" applyAlignment="1">
      <alignment horizontal="left" vertical="center"/>
    </xf>
    <xf numFmtId="1" fontId="14" fillId="4" borderId="0" xfId="4" applyNumberFormat="1" applyFont="1" applyFill="1" applyAlignment="1">
      <alignment horizontal="left" vertical="center"/>
    </xf>
    <xf numFmtId="2" fontId="14" fillId="4" borderId="0" xfId="4" applyNumberFormat="1" applyFont="1" applyFill="1" applyAlignment="1">
      <alignment horizontal="left" vertical="center"/>
    </xf>
    <xf numFmtId="0" fontId="43" fillId="4" borderId="0" xfId="4" applyFont="1" applyFill="1" applyAlignment="1">
      <alignment horizontal="left" vertical="center"/>
    </xf>
    <xf numFmtId="0" fontId="14" fillId="0" borderId="0" xfId="4" applyFont="1" applyAlignment="1">
      <alignment horizontal="left" vertical="center"/>
    </xf>
    <xf numFmtId="0" fontId="14" fillId="4" borderId="0" xfId="4" applyFont="1" applyFill="1" applyBorder="1" applyAlignment="1">
      <alignment horizontal="left" vertical="center"/>
    </xf>
    <xf numFmtId="0" fontId="14" fillId="4" borderId="114" xfId="4" applyFont="1" applyFill="1" applyBorder="1" applyAlignment="1">
      <alignment horizontal="left"/>
    </xf>
    <xf numFmtId="0" fontId="14" fillId="4" borderId="115" xfId="4" applyFont="1" applyFill="1" applyBorder="1" applyAlignment="1">
      <alignment horizontal="center"/>
    </xf>
    <xf numFmtId="0" fontId="14" fillId="4" borderId="45" xfId="4" applyFont="1" applyFill="1" applyBorder="1" applyAlignment="1">
      <alignment horizontal="left"/>
    </xf>
    <xf numFmtId="0" fontId="14" fillId="4" borderId="115" xfId="4" applyFont="1" applyFill="1" applyBorder="1" applyAlignment="1">
      <alignment horizontal="left"/>
    </xf>
    <xf numFmtId="0" fontId="14" fillId="4" borderId="138" xfId="4" applyFont="1" applyFill="1" applyBorder="1" applyAlignment="1">
      <alignment horizontal="left"/>
    </xf>
    <xf numFmtId="1" fontId="14" fillId="4" borderId="45" xfId="4" applyNumberFormat="1" applyFont="1" applyFill="1" applyBorder="1" applyAlignment="1">
      <alignment horizontal="left"/>
    </xf>
    <xf numFmtId="0" fontId="14" fillId="4" borderId="139" xfId="4" applyFont="1" applyFill="1" applyBorder="1" applyAlignment="1">
      <alignment horizontal="left"/>
    </xf>
    <xf numFmtId="0" fontId="14" fillId="4" borderId="140" xfId="4" applyFont="1" applyFill="1" applyBorder="1" applyAlignment="1">
      <alignment horizontal="left"/>
    </xf>
    <xf numFmtId="0" fontId="43" fillId="4" borderId="140" xfId="4" applyFont="1" applyFill="1" applyBorder="1" applyAlignment="1">
      <alignment horizontal="left"/>
    </xf>
    <xf numFmtId="0" fontId="43" fillId="4" borderId="141" xfId="4" applyFont="1" applyFill="1" applyBorder="1" applyAlignment="1">
      <alignment horizontal="left"/>
    </xf>
    <xf numFmtId="0" fontId="43" fillId="4" borderId="114" xfId="4" applyFont="1" applyFill="1" applyBorder="1" applyAlignment="1">
      <alignment horizontal="left"/>
    </xf>
    <xf numFmtId="0" fontId="43" fillId="4" borderId="45" xfId="4" applyFont="1" applyFill="1" applyBorder="1" applyAlignment="1">
      <alignment horizontal="left"/>
    </xf>
    <xf numFmtId="0" fontId="43" fillId="4" borderId="115" xfId="4" applyFont="1" applyFill="1" applyBorder="1" applyAlignment="1">
      <alignment horizontal="left"/>
    </xf>
    <xf numFmtId="0" fontId="14" fillId="0" borderId="0" xfId="4" applyFont="1" applyBorder="1" applyAlignment="1">
      <alignment horizontal="center"/>
    </xf>
    <xf numFmtId="0" fontId="14" fillId="4" borderId="37" xfId="4" applyFont="1" applyFill="1" applyBorder="1" applyAlignment="1">
      <alignment horizontal="left"/>
    </xf>
    <xf numFmtId="0" fontId="14" fillId="4" borderId="38" xfId="4" applyFont="1" applyFill="1" applyBorder="1" applyAlignment="1">
      <alignment horizontal="center"/>
    </xf>
    <xf numFmtId="0" fontId="14" fillId="4" borderId="22" xfId="4" applyFont="1" applyFill="1" applyBorder="1" applyAlignment="1">
      <alignment horizontal="left"/>
    </xf>
    <xf numFmtId="0" fontId="14" fillId="4" borderId="38" xfId="4" applyFont="1" applyFill="1" applyBorder="1" applyAlignment="1">
      <alignment horizontal="left"/>
    </xf>
    <xf numFmtId="0" fontId="14" fillId="4" borderId="142" xfId="4" applyFont="1" applyFill="1" applyBorder="1" applyAlignment="1">
      <alignment horizontal="left"/>
    </xf>
    <xf numFmtId="1" fontId="14" fillId="4" borderId="22" xfId="4" applyNumberFormat="1" applyFont="1" applyFill="1" applyBorder="1" applyAlignment="1">
      <alignment horizontal="left"/>
    </xf>
    <xf numFmtId="0" fontId="14" fillId="4" borderId="141" xfId="4" applyFont="1" applyFill="1" applyBorder="1" applyAlignment="1">
      <alignment horizontal="left"/>
    </xf>
    <xf numFmtId="0" fontId="14" fillId="4" borderId="139" xfId="4" applyFont="1" applyFill="1" applyBorder="1" applyAlignment="1">
      <alignment horizontal="center"/>
    </xf>
    <xf numFmtId="0" fontId="43" fillId="4" borderId="140" xfId="4" applyFont="1" applyFill="1" applyBorder="1" applyAlignment="1">
      <alignment horizontal="center"/>
    </xf>
    <xf numFmtId="0" fontId="43" fillId="4" borderId="141" xfId="4" applyFont="1" applyFill="1" applyBorder="1" applyAlignment="1">
      <alignment horizontal="center"/>
    </xf>
    <xf numFmtId="0" fontId="43" fillId="4" borderId="37" xfId="4" applyFont="1" applyFill="1" applyBorder="1" applyAlignment="1">
      <alignment horizontal="left"/>
    </xf>
    <xf numFmtId="0" fontId="43" fillId="4" borderId="22" xfId="4" applyFont="1" applyFill="1" applyBorder="1" applyAlignment="1">
      <alignment horizontal="left"/>
    </xf>
    <xf numFmtId="0" fontId="43" fillId="4" borderId="38" xfId="4" applyFont="1" applyFill="1" applyBorder="1" applyAlignment="1">
      <alignment horizontal="left"/>
    </xf>
    <xf numFmtId="0" fontId="14" fillId="0" borderId="0" xfId="4" applyFont="1" applyFill="1" applyBorder="1" applyAlignment="1">
      <alignment horizontal="left"/>
    </xf>
    <xf numFmtId="0" fontId="14" fillId="0" borderId="143" xfId="4" applyFont="1" applyFill="1" applyBorder="1" applyAlignment="1">
      <alignment horizontal="center"/>
    </xf>
    <xf numFmtId="0" fontId="14" fillId="0" borderId="0" xfId="4" applyFont="1" applyFill="1" applyBorder="1" applyAlignment="1">
      <alignment horizontal="center"/>
    </xf>
    <xf numFmtId="171" fontId="14" fillId="0" borderId="0" xfId="5" applyFont="1" applyFill="1" applyBorder="1" applyAlignment="1">
      <alignment horizontal="center"/>
    </xf>
    <xf numFmtId="0" fontId="43" fillId="0" borderId="0" xfId="4" applyFont="1" applyFill="1" applyBorder="1" applyAlignment="1">
      <alignment horizontal="center"/>
    </xf>
    <xf numFmtId="0" fontId="43" fillId="0" borderId="36" xfId="4" applyFont="1" applyFill="1" applyBorder="1" applyAlignment="1">
      <alignment horizontal="center"/>
    </xf>
    <xf numFmtId="1" fontId="14" fillId="0" borderId="0" xfId="4" applyNumberFormat="1" applyFont="1" applyFill="1" applyBorder="1" applyAlignment="1">
      <alignment horizontal="center"/>
    </xf>
    <xf numFmtId="0" fontId="54" fillId="0" borderId="0" xfId="4" applyFont="1" applyFill="1" applyAlignment="1">
      <alignment horizontal="center"/>
    </xf>
    <xf numFmtId="0" fontId="14" fillId="0" borderId="22" xfId="4" applyFont="1" applyFill="1" applyBorder="1" applyAlignment="1">
      <alignment horizontal="left"/>
    </xf>
    <xf numFmtId="0" fontId="14" fillId="0" borderId="144" xfId="4" applyFont="1" applyFill="1" applyBorder="1" applyAlignment="1">
      <alignment horizontal="center"/>
    </xf>
    <xf numFmtId="0" fontId="14" fillId="0" borderId="22" xfId="4" applyFont="1" applyFill="1" applyBorder="1" applyAlignment="1">
      <alignment horizontal="center"/>
    </xf>
    <xf numFmtId="1" fontId="14" fillId="0" borderId="22" xfId="4" applyNumberFormat="1" applyFont="1" applyFill="1" applyBorder="1" applyAlignment="1">
      <alignment horizontal="center"/>
    </xf>
    <xf numFmtId="0" fontId="43" fillId="0" borderId="22" xfId="4" applyFont="1" applyFill="1" applyBorder="1" applyAlignment="1">
      <alignment horizontal="center"/>
    </xf>
    <xf numFmtId="0" fontId="43" fillId="0" borderId="38" xfId="4" applyFont="1" applyFill="1" applyBorder="1" applyAlignment="1">
      <alignment horizontal="center"/>
    </xf>
    <xf numFmtId="0" fontId="48" fillId="0" borderId="145" xfId="4" applyFont="1" applyBorder="1" applyAlignment="1">
      <alignment horizontal="center"/>
    </xf>
    <xf numFmtId="0" fontId="48" fillId="0" borderId="146" xfId="4" applyFont="1" applyBorder="1" applyAlignment="1">
      <alignment horizontal="center"/>
    </xf>
    <xf numFmtId="0" fontId="26" fillId="0" borderId="0" xfId="4" applyFont="1"/>
    <xf numFmtId="1" fontId="26" fillId="0" borderId="0" xfId="4" applyNumberFormat="1" applyFont="1"/>
    <xf numFmtId="0" fontId="55" fillId="0" borderId="0" xfId="4" applyFont="1"/>
    <xf numFmtId="0" fontId="14" fillId="0" borderId="0" xfId="4" applyFont="1" applyAlignment="1">
      <alignment horizontal="center"/>
    </xf>
    <xf numFmtId="0" fontId="56" fillId="15" borderId="49" xfId="4" applyFont="1" applyFill="1" applyBorder="1" applyAlignment="1">
      <alignment horizontal="left"/>
    </xf>
    <xf numFmtId="169" fontId="56" fillId="15" borderId="147" xfId="4" applyNumberFormat="1" applyFont="1" applyFill="1" applyBorder="1" applyAlignment="1">
      <alignment horizontal="center"/>
    </xf>
    <xf numFmtId="0" fontId="56" fillId="15" borderId="49" xfId="4" applyFont="1" applyFill="1" applyBorder="1" applyAlignment="1">
      <alignment horizontal="center"/>
    </xf>
    <xf numFmtId="169" fontId="56" fillId="15" borderId="49" xfId="4" applyNumberFormat="1" applyFont="1" applyFill="1" applyBorder="1" applyAlignment="1">
      <alignment horizontal="center"/>
    </xf>
    <xf numFmtId="0" fontId="56" fillId="15" borderId="147" xfId="4" applyFont="1" applyFill="1" applyBorder="1" applyAlignment="1">
      <alignment horizontal="center"/>
    </xf>
    <xf numFmtId="2" fontId="56" fillId="15" borderId="147" xfId="4" applyNumberFormat="1" applyFont="1" applyFill="1" applyBorder="1" applyAlignment="1">
      <alignment horizontal="center"/>
    </xf>
    <xf numFmtId="1" fontId="56" fillId="15" borderId="49" xfId="4" applyNumberFormat="1" applyFont="1" applyFill="1" applyBorder="1" applyAlignment="1">
      <alignment horizontal="center"/>
    </xf>
    <xf numFmtId="1" fontId="56" fillId="15" borderId="147" xfId="4" applyNumberFormat="1" applyFont="1" applyFill="1" applyBorder="1" applyAlignment="1">
      <alignment horizontal="center"/>
    </xf>
    <xf numFmtId="166" fontId="56" fillId="15" borderId="49" xfId="4" applyNumberFormat="1" applyFont="1" applyFill="1" applyBorder="1" applyAlignment="1">
      <alignment horizontal="center"/>
    </xf>
    <xf numFmtId="2" fontId="56" fillId="15" borderId="49" xfId="4" applyNumberFormat="1" applyFont="1" applyFill="1" applyBorder="1" applyAlignment="1">
      <alignment horizontal="center"/>
    </xf>
    <xf numFmtId="2" fontId="56" fillId="15" borderId="148" xfId="4" applyNumberFormat="1" applyFont="1" applyFill="1" applyBorder="1" applyAlignment="1">
      <alignment horizontal="center"/>
    </xf>
    <xf numFmtId="0" fontId="48" fillId="15" borderId="49" xfId="4" applyFont="1" applyFill="1" applyBorder="1" applyAlignment="1">
      <alignment horizontal="center"/>
    </xf>
    <xf numFmtId="0" fontId="48" fillId="15" borderId="147" xfId="4" applyFont="1" applyFill="1" applyBorder="1" applyAlignment="1">
      <alignment horizontal="center"/>
    </xf>
    <xf numFmtId="0" fontId="48" fillId="15" borderId="148" xfId="4" applyFont="1" applyFill="1" applyBorder="1" applyAlignment="1">
      <alignment horizontal="center"/>
    </xf>
    <xf numFmtId="0" fontId="54" fillId="15" borderId="0" xfId="4" applyFont="1" applyFill="1" applyAlignment="1">
      <alignment horizontal="center"/>
    </xf>
    <xf numFmtId="0" fontId="56" fillId="0" borderId="49" xfId="4" applyFont="1" applyBorder="1" applyAlignment="1">
      <alignment horizontal="left"/>
    </xf>
    <xf numFmtId="169" fontId="56" fillId="0" borderId="147" xfId="4" applyNumberFormat="1" applyFont="1" applyFill="1" applyBorder="1" applyAlignment="1">
      <alignment horizontal="center"/>
    </xf>
    <xf numFmtId="0" fontId="56" fillId="0" borderId="49" xfId="4" applyFont="1" applyBorder="1" applyAlignment="1">
      <alignment horizontal="center"/>
    </xf>
    <xf numFmtId="169" fontId="56" fillId="0" borderId="49" xfId="4" applyNumberFormat="1" applyFont="1" applyBorder="1" applyAlignment="1">
      <alignment horizontal="center"/>
    </xf>
    <xf numFmtId="0" fontId="56" fillId="0" borderId="147" xfId="4" applyFont="1" applyBorder="1" applyAlignment="1">
      <alignment horizontal="center"/>
    </xf>
    <xf numFmtId="2" fontId="56" fillId="0" borderId="147" xfId="4" applyNumberFormat="1" applyFont="1" applyBorder="1" applyAlignment="1">
      <alignment horizontal="center"/>
    </xf>
    <xf numFmtId="1" fontId="56" fillId="0" borderId="49" xfId="4" applyNumberFormat="1" applyFont="1" applyBorder="1" applyAlignment="1">
      <alignment horizontal="center"/>
    </xf>
    <xf numFmtId="1" fontId="56" fillId="0" borderId="147" xfId="4" applyNumberFormat="1" applyFont="1" applyBorder="1" applyAlignment="1">
      <alignment horizontal="center"/>
    </xf>
    <xf numFmtId="166" fontId="56" fillId="0" borderId="49" xfId="4" applyNumberFormat="1" applyFont="1" applyBorder="1" applyAlignment="1">
      <alignment horizontal="center"/>
    </xf>
    <xf numFmtId="169" fontId="56" fillId="0" borderId="147" xfId="4" applyNumberFormat="1" applyFont="1" applyBorder="1" applyAlignment="1">
      <alignment horizontal="center"/>
    </xf>
    <xf numFmtId="2" fontId="56" fillId="0" borderId="49" xfId="4" applyNumberFormat="1" applyFont="1" applyBorder="1" applyAlignment="1">
      <alignment horizontal="center"/>
    </xf>
    <xf numFmtId="2" fontId="56" fillId="0" borderId="148" xfId="4" applyNumberFormat="1" applyFont="1" applyBorder="1" applyAlignment="1">
      <alignment horizontal="center"/>
    </xf>
    <xf numFmtId="0" fontId="48" fillId="0" borderId="49" xfId="4" applyFont="1" applyBorder="1" applyAlignment="1">
      <alignment horizontal="center"/>
    </xf>
    <xf numFmtId="0" fontId="48" fillId="0" borderId="147" xfId="4" applyFont="1" applyBorder="1" applyAlignment="1">
      <alignment horizontal="center"/>
    </xf>
    <xf numFmtId="0" fontId="48" fillId="0" borderId="148" xfId="4" applyFont="1" applyBorder="1" applyAlignment="1">
      <alignment horizontal="center"/>
    </xf>
    <xf numFmtId="0" fontId="14" fillId="15" borderId="0" xfId="4" applyFont="1" applyFill="1" applyBorder="1" applyAlignment="1">
      <alignment horizontal="center"/>
    </xf>
    <xf numFmtId="169" fontId="56" fillId="0" borderId="148" xfId="4" applyNumberFormat="1" applyFont="1" applyBorder="1" applyAlignment="1">
      <alignment horizontal="center"/>
    </xf>
    <xf numFmtId="169" fontId="56" fillId="15" borderId="148" xfId="4" applyNumberFormat="1" applyFont="1" applyFill="1" applyBorder="1" applyAlignment="1">
      <alignment horizontal="center"/>
    </xf>
    <xf numFmtId="0" fontId="48" fillId="0" borderId="49" xfId="4" applyFont="1" applyBorder="1" applyAlignment="1">
      <alignment horizontal="left"/>
    </xf>
    <xf numFmtId="169" fontId="48" fillId="0" borderId="147" xfId="4" applyNumberFormat="1" applyFont="1" applyFill="1" applyBorder="1" applyAlignment="1">
      <alignment horizontal="center"/>
    </xf>
    <xf numFmtId="169" fontId="48" fillId="0" borderId="49" xfId="4" applyNumberFormat="1" applyFont="1" applyBorder="1" applyAlignment="1">
      <alignment horizontal="center"/>
    </xf>
    <xf numFmtId="2" fontId="48" fillId="0" borderId="147" xfId="4" applyNumberFormat="1" applyFont="1" applyBorder="1" applyAlignment="1">
      <alignment horizontal="center"/>
    </xf>
    <xf numFmtId="1" fontId="48" fillId="0" borderId="49" xfId="4" applyNumberFormat="1" applyFont="1" applyBorder="1" applyAlignment="1">
      <alignment horizontal="center"/>
    </xf>
    <xf numFmtId="1" fontId="48" fillId="0" borderId="147" xfId="4" applyNumberFormat="1" applyFont="1" applyBorder="1" applyAlignment="1">
      <alignment horizontal="center"/>
    </xf>
    <xf numFmtId="166" fontId="48" fillId="0" borderId="49" xfId="4" applyNumberFormat="1" applyFont="1" applyBorder="1" applyAlignment="1">
      <alignment horizontal="center"/>
    </xf>
    <xf numFmtId="2" fontId="48" fillId="0" borderId="49" xfId="4" applyNumberFormat="1" applyFont="1" applyBorder="1" applyAlignment="1">
      <alignment horizontal="center"/>
    </xf>
    <xf numFmtId="0" fontId="57" fillId="0" borderId="49" xfId="4" applyFont="1" applyBorder="1" applyAlignment="1">
      <alignment horizontal="center"/>
    </xf>
    <xf numFmtId="1" fontId="56" fillId="0" borderId="147" xfId="4" applyNumberFormat="1" applyFont="1" applyFill="1" applyBorder="1" applyAlignment="1">
      <alignment horizontal="center"/>
    </xf>
    <xf numFmtId="0" fontId="58" fillId="0" borderId="0" xfId="4" applyFont="1" applyBorder="1" applyAlignment="1">
      <alignment horizontal="center"/>
    </xf>
    <xf numFmtId="0" fontId="48" fillId="15" borderId="49" xfId="4" applyFont="1" applyFill="1" applyBorder="1" applyAlignment="1">
      <alignment horizontal="left"/>
    </xf>
    <xf numFmtId="169" fontId="48" fillId="15" borderId="147" xfId="4" applyNumberFormat="1" applyFont="1" applyFill="1" applyBorder="1" applyAlignment="1">
      <alignment horizontal="center"/>
    </xf>
    <xf numFmtId="169" fontId="48" fillId="15" borderId="49" xfId="4" applyNumberFormat="1" applyFont="1" applyFill="1" applyBorder="1" applyAlignment="1">
      <alignment horizontal="center"/>
    </xf>
    <xf numFmtId="2" fontId="48" fillId="15" borderId="147" xfId="4" applyNumberFormat="1" applyFont="1" applyFill="1" applyBorder="1" applyAlignment="1">
      <alignment horizontal="center"/>
    </xf>
    <xf numFmtId="1" fontId="48" fillId="15" borderId="49" xfId="4" applyNumberFormat="1" applyFont="1" applyFill="1" applyBorder="1" applyAlignment="1">
      <alignment horizontal="center"/>
    </xf>
    <xf numFmtId="1" fontId="48" fillId="15" borderId="147" xfId="4" applyNumberFormat="1" applyFont="1" applyFill="1" applyBorder="1" applyAlignment="1">
      <alignment horizontal="center"/>
    </xf>
    <xf numFmtId="166" fontId="48" fillId="15" borderId="49" xfId="4" applyNumberFormat="1" applyFont="1" applyFill="1" applyBorder="1" applyAlignment="1">
      <alignment horizontal="center"/>
    </xf>
    <xf numFmtId="2" fontId="48" fillId="15" borderId="49" xfId="4" applyNumberFormat="1" applyFont="1" applyFill="1" applyBorder="1" applyAlignment="1">
      <alignment horizontal="center"/>
    </xf>
    <xf numFmtId="0" fontId="57" fillId="15" borderId="49" xfId="4" applyFont="1" applyFill="1" applyBorder="1" applyAlignment="1">
      <alignment horizontal="center"/>
    </xf>
    <xf numFmtId="1" fontId="48" fillId="0" borderId="147" xfId="4" applyNumberFormat="1" applyFont="1" applyFill="1" applyBorder="1" applyAlignment="1">
      <alignment horizontal="center"/>
    </xf>
    <xf numFmtId="0" fontId="58" fillId="15" borderId="0" xfId="4" applyFont="1" applyFill="1" applyBorder="1" applyAlignment="1">
      <alignment horizontal="center"/>
    </xf>
    <xf numFmtId="0" fontId="56" fillId="0" borderId="148" xfId="4" applyFont="1" applyBorder="1" applyAlignment="1">
      <alignment horizontal="center"/>
    </xf>
    <xf numFmtId="0" fontId="56" fillId="15" borderId="148" xfId="4" applyFont="1" applyFill="1" applyBorder="1" applyAlignment="1">
      <alignment horizontal="center"/>
    </xf>
    <xf numFmtId="0" fontId="59" fillId="0" borderId="0" xfId="4" applyFont="1" applyBorder="1" applyAlignment="1">
      <alignment horizontal="center"/>
    </xf>
    <xf numFmtId="0" fontId="59" fillId="15" borderId="0" xfId="4" applyFont="1" applyFill="1" applyBorder="1" applyAlignment="1">
      <alignment horizontal="center"/>
    </xf>
    <xf numFmtId="0" fontId="43" fillId="15" borderId="0" xfId="4" applyFont="1" applyFill="1" applyBorder="1" applyAlignment="1">
      <alignment horizontal="center"/>
    </xf>
    <xf numFmtId="169" fontId="48" fillId="0" borderId="147" xfId="4" applyNumberFormat="1" applyFont="1" applyBorder="1" applyAlignment="1">
      <alignment horizontal="center"/>
    </xf>
    <xf numFmtId="0" fontId="43" fillId="0" borderId="0" xfId="4" applyFont="1" applyBorder="1" applyAlignment="1">
      <alignment horizontal="center"/>
    </xf>
    <xf numFmtId="0" fontId="48" fillId="0" borderId="22" xfId="4" applyFont="1" applyBorder="1" applyAlignment="1">
      <alignment horizontal="center"/>
    </xf>
    <xf numFmtId="0" fontId="48" fillId="0" borderId="144" xfId="4" applyFont="1" applyBorder="1" applyAlignment="1">
      <alignment horizontal="center"/>
    </xf>
    <xf numFmtId="0" fontId="48" fillId="0" borderId="38" xfId="4" applyFont="1" applyBorder="1" applyAlignment="1">
      <alignment horizontal="center"/>
    </xf>
    <xf numFmtId="0" fontId="56" fillId="0" borderId="0" xfId="4" applyFont="1" applyBorder="1" applyAlignment="1">
      <alignment horizontal="center"/>
    </xf>
    <xf numFmtId="0" fontId="14" fillId="0" borderId="0" xfId="4" applyFont="1" applyAlignment="1">
      <alignment horizontal="left"/>
    </xf>
    <xf numFmtId="1" fontId="14" fillId="0" borderId="0" xfId="4" applyNumberFormat="1" applyFont="1" applyAlignment="1">
      <alignment horizontal="center"/>
    </xf>
    <xf numFmtId="2" fontId="14" fillId="0" borderId="0" xfId="4" applyNumberFormat="1" applyFont="1" applyAlignment="1">
      <alignment horizontal="center"/>
    </xf>
    <xf numFmtId="0" fontId="43" fillId="0" borderId="0" xfId="4" applyFont="1" applyAlignment="1">
      <alignment horizontal="center"/>
    </xf>
    <xf numFmtId="0" fontId="60" fillId="0" borderId="0" xfId="4" quotePrefix="1" applyFont="1" applyAlignment="1">
      <alignment horizontal="left" vertical="center"/>
    </xf>
    <xf numFmtId="0" fontId="60" fillId="0" borderId="0" xfId="4" applyFont="1" applyAlignment="1">
      <alignment horizontal="left" vertical="center"/>
    </xf>
    <xf numFmtId="0" fontId="61" fillId="0" borderId="0" xfId="4" applyFont="1" applyAlignment="1">
      <alignment vertical="center"/>
    </xf>
    <xf numFmtId="1" fontId="14" fillId="0" borderId="0" xfId="4" applyNumberFormat="1" applyFont="1" applyAlignment="1">
      <alignment horizontal="center" vertical="center"/>
    </xf>
    <xf numFmtId="0" fontId="14" fillId="0" borderId="0" xfId="4" applyFont="1" applyAlignment="1">
      <alignment horizontal="center" vertical="center"/>
    </xf>
    <xf numFmtId="0" fontId="43" fillId="0" borderId="0" xfId="4" applyFont="1" applyAlignment="1">
      <alignment horizontal="center" vertical="center"/>
    </xf>
    <xf numFmtId="0" fontId="61" fillId="0" borderId="0" xfId="4" applyFont="1"/>
    <xf numFmtId="2" fontId="14" fillId="0" borderId="0" xfId="4" applyNumberFormat="1" applyFont="1" applyAlignment="1">
      <alignment horizontal="center" vertical="center"/>
    </xf>
  </cellXfs>
  <cellStyles count="6">
    <cellStyle name="Köprü" xfId="1" builtinId="8"/>
    <cellStyle name="Normal" xfId="0" builtinId="0"/>
    <cellStyle name="Normal 2" xfId="4"/>
    <cellStyle name="Normal_sigma_mukavement" xfId="2"/>
    <cellStyle name="Normal_TUNEL1" xfId="3"/>
    <cellStyle name="Virgül 2" xfId="5"/>
  </cellStyles>
  <dxfs count="1">
    <dxf>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emf"/></Relationships>
</file>

<file path=xl/drawings/_rels/drawing4.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emf"/></Relationships>
</file>

<file path=xl/drawings/_rels/drawing5.x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4.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160020</xdr:colOff>
      <xdr:row>0</xdr:row>
      <xdr:rowOff>76200</xdr:rowOff>
    </xdr:from>
    <xdr:to>
      <xdr:col>12</xdr:col>
      <xdr:colOff>594360</xdr:colOff>
      <xdr:row>33</xdr:row>
      <xdr:rowOff>2264</xdr:rowOff>
    </xdr:to>
    <xdr:pic>
      <xdr:nvPicPr>
        <xdr:cNvPr id="2" name="1 Resim" descr="RONDELA AGIRLIK TABLO-01.jpg"/>
        <xdr:cNvPicPr>
          <a:picLocks noChangeAspect="1"/>
        </xdr:cNvPicPr>
      </xdr:nvPicPr>
      <xdr:blipFill>
        <a:blip xmlns:r="http://schemas.openxmlformats.org/officeDocument/2006/relationships" r:embed="rId1" cstate="print"/>
        <a:stretch>
          <a:fillRect/>
        </a:stretch>
      </xdr:blipFill>
      <xdr:spPr>
        <a:xfrm>
          <a:off x="160020" y="76200"/>
          <a:ext cx="7749540" cy="5458184"/>
        </a:xfrm>
        <a:prstGeom prst="rect">
          <a:avLst/>
        </a:prstGeom>
      </xdr:spPr>
    </xdr:pic>
    <xdr:clientData/>
  </xdr:twoCellAnchor>
  <xdr:twoCellAnchor editAs="oneCell">
    <xdr:from>
      <xdr:col>0</xdr:col>
      <xdr:colOff>166795</xdr:colOff>
      <xdr:row>33</xdr:row>
      <xdr:rowOff>13714</xdr:rowOff>
    </xdr:from>
    <xdr:to>
      <xdr:col>13</xdr:col>
      <xdr:colOff>454270</xdr:colOff>
      <xdr:row>67</xdr:row>
      <xdr:rowOff>119108</xdr:rowOff>
    </xdr:to>
    <xdr:pic>
      <xdr:nvPicPr>
        <xdr:cNvPr id="3" name="2 Resim" descr="SOMUN AGIRLIK TABLO-01.jpg"/>
        <xdr:cNvPicPr>
          <a:picLocks noChangeAspect="1"/>
        </xdr:cNvPicPr>
      </xdr:nvPicPr>
      <xdr:blipFill>
        <a:blip xmlns:r="http://schemas.openxmlformats.org/officeDocument/2006/relationships" r:embed="rId2" cstate="print"/>
        <a:stretch>
          <a:fillRect/>
        </a:stretch>
      </xdr:blipFill>
      <xdr:spPr>
        <a:xfrm>
          <a:off x="166795" y="5333060"/>
          <a:ext cx="8288475" cy="5585933"/>
        </a:xfrm>
        <a:prstGeom prst="rect">
          <a:avLst/>
        </a:prstGeom>
      </xdr:spPr>
    </xdr:pic>
    <xdr:clientData/>
  </xdr:twoCellAnchor>
  <xdr:twoCellAnchor editAs="oneCell">
    <xdr:from>
      <xdr:col>13</xdr:col>
      <xdr:colOff>43961</xdr:colOff>
      <xdr:row>1</xdr:row>
      <xdr:rowOff>43960</xdr:rowOff>
    </xdr:from>
    <xdr:to>
      <xdr:col>23</xdr:col>
      <xdr:colOff>139529</xdr:colOff>
      <xdr:row>32</xdr:row>
      <xdr:rowOff>123677</xdr:rowOff>
    </xdr:to>
    <xdr:pic>
      <xdr:nvPicPr>
        <xdr:cNvPr id="4" name="3 Resim" descr="SOMUN AGIRLIK TABLO-02.jpg"/>
        <xdr:cNvPicPr>
          <a:picLocks noChangeAspect="1"/>
        </xdr:cNvPicPr>
      </xdr:nvPicPr>
      <xdr:blipFill>
        <a:blip xmlns:r="http://schemas.openxmlformats.org/officeDocument/2006/relationships" r:embed="rId3" cstate="print"/>
        <a:stretch>
          <a:fillRect/>
        </a:stretch>
      </xdr:blipFill>
      <xdr:spPr>
        <a:xfrm>
          <a:off x="8044961" y="205152"/>
          <a:ext cx="6250183" cy="5076679"/>
        </a:xfrm>
        <a:prstGeom prst="rect">
          <a:avLst/>
        </a:prstGeom>
      </xdr:spPr>
    </xdr:pic>
    <xdr:clientData/>
  </xdr:twoCellAnchor>
  <xdr:twoCellAnchor editAs="oneCell">
    <xdr:from>
      <xdr:col>13</xdr:col>
      <xdr:colOff>512883</xdr:colOff>
      <xdr:row>33</xdr:row>
      <xdr:rowOff>104989</xdr:rowOff>
    </xdr:from>
    <xdr:to>
      <xdr:col>20</xdr:col>
      <xdr:colOff>586153</xdr:colOff>
      <xdr:row>66</xdr:row>
      <xdr:rowOff>49825</xdr:rowOff>
    </xdr:to>
    <xdr:pic>
      <xdr:nvPicPr>
        <xdr:cNvPr id="5" name="4 Resim" descr="TIJ AGIRLIK TABLO-01.jpg"/>
        <xdr:cNvPicPr>
          <a:picLocks noChangeAspect="1"/>
        </xdr:cNvPicPr>
      </xdr:nvPicPr>
      <xdr:blipFill>
        <a:blip xmlns:r="http://schemas.openxmlformats.org/officeDocument/2006/relationships" r:embed="rId4" cstate="print"/>
        <a:stretch>
          <a:fillRect/>
        </a:stretch>
      </xdr:blipFill>
      <xdr:spPr>
        <a:xfrm>
          <a:off x="8513883" y="5424335"/>
          <a:ext cx="4381501" cy="52641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297180</xdr:colOff>
      <xdr:row>0</xdr:row>
      <xdr:rowOff>1082040</xdr:rowOff>
    </xdr:to>
    <xdr:pic>
      <xdr:nvPicPr>
        <xdr:cNvPr id="7183" name="Picture 3" descr="logo"/>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3771900" cy="108204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0</xdr:col>
          <xdr:colOff>60960</xdr:colOff>
          <xdr:row>1</xdr:row>
          <xdr:rowOff>0</xdr:rowOff>
        </xdr:from>
        <xdr:to>
          <xdr:col>3</xdr:col>
          <xdr:colOff>167640</xdr:colOff>
          <xdr:row>13</xdr:row>
          <xdr:rowOff>137160</xdr:rowOff>
        </xdr:to>
        <xdr:sp macro="" textlink="">
          <xdr:nvSpPr>
            <xdr:cNvPr id="7169" name="Object 1" hidden="1">
              <a:extLst>
                <a:ext uri="{63B3BB69-23CF-44E3-9099-C40C66FF867C}">
                  <a14:compatExt spid="_x0000_s7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533400</xdr:colOff>
          <xdr:row>16</xdr:row>
          <xdr:rowOff>38100</xdr:rowOff>
        </xdr:from>
        <xdr:to>
          <xdr:col>24</xdr:col>
          <xdr:colOff>632460</xdr:colOff>
          <xdr:row>46</xdr:row>
          <xdr:rowOff>53340</xdr:rowOff>
        </xdr:to>
        <xdr:sp macro="" textlink="">
          <xdr:nvSpPr>
            <xdr:cNvPr id="7170" name="Object 2" hidden="1">
              <a:extLst>
                <a:ext uri="{63B3BB69-23CF-44E3-9099-C40C66FF867C}">
                  <a14:compatExt spid="_x0000_s7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10</xdr:col>
      <xdr:colOff>381000</xdr:colOff>
      <xdr:row>0</xdr:row>
      <xdr:rowOff>236220</xdr:rowOff>
    </xdr:from>
    <xdr:to>
      <xdr:col>12</xdr:col>
      <xdr:colOff>190500</xdr:colOff>
      <xdr:row>10</xdr:row>
      <xdr:rowOff>83820</xdr:rowOff>
    </xdr:to>
    <xdr:pic>
      <xdr:nvPicPr>
        <xdr:cNvPr id="310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5913120" y="236220"/>
          <a:ext cx="1150620" cy="1813560"/>
        </a:xfrm>
        <a:prstGeom prst="rect">
          <a:avLst/>
        </a:prstGeom>
        <a:noFill/>
        <a:ln w="9525">
          <a:noFill/>
          <a:miter lim="800000"/>
          <a:headEnd/>
          <a:tailEnd/>
        </a:ln>
      </xdr:spPr>
    </xdr:pic>
    <xdr:clientData/>
  </xdr:twoCellAnchor>
  <xdr:twoCellAnchor editAs="oneCell">
    <xdr:from>
      <xdr:col>10</xdr:col>
      <xdr:colOff>312420</xdr:colOff>
      <xdr:row>12</xdr:row>
      <xdr:rowOff>0</xdr:rowOff>
    </xdr:from>
    <xdr:to>
      <xdr:col>16</xdr:col>
      <xdr:colOff>68580</xdr:colOff>
      <xdr:row>27</xdr:row>
      <xdr:rowOff>144780</xdr:rowOff>
    </xdr:to>
    <xdr:pic>
      <xdr:nvPicPr>
        <xdr:cNvPr id="3103" name="Picture 3" descr="IPN"/>
        <xdr:cNvPicPr>
          <a:picLocks noChangeAspect="1" noChangeArrowheads="1"/>
        </xdr:cNvPicPr>
      </xdr:nvPicPr>
      <xdr:blipFill>
        <a:blip xmlns:r="http://schemas.openxmlformats.org/officeDocument/2006/relationships" r:embed="rId2" cstate="print"/>
        <a:srcRect/>
        <a:stretch>
          <a:fillRect/>
        </a:stretch>
      </xdr:blipFill>
      <xdr:spPr bwMode="auto">
        <a:xfrm>
          <a:off x="5844540" y="2346960"/>
          <a:ext cx="3535680" cy="29718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480060</xdr:colOff>
      <xdr:row>0</xdr:row>
      <xdr:rowOff>213360</xdr:rowOff>
    </xdr:from>
    <xdr:to>
      <xdr:col>12</xdr:col>
      <xdr:colOff>579120</xdr:colOff>
      <xdr:row>11</xdr:row>
      <xdr:rowOff>167640</xdr:rowOff>
    </xdr:to>
    <xdr:pic>
      <xdr:nvPicPr>
        <xdr:cNvPr id="5149"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6042660" y="213360"/>
          <a:ext cx="1318260" cy="2110740"/>
        </a:xfrm>
        <a:prstGeom prst="rect">
          <a:avLst/>
        </a:prstGeom>
        <a:noFill/>
        <a:ln w="9525">
          <a:noFill/>
          <a:miter lim="800000"/>
          <a:headEnd/>
          <a:tailEnd/>
        </a:ln>
      </xdr:spPr>
    </xdr:pic>
    <xdr:clientData/>
  </xdr:twoCellAnchor>
  <xdr:twoCellAnchor editAs="oneCell">
    <xdr:from>
      <xdr:col>11</xdr:col>
      <xdr:colOff>0</xdr:colOff>
      <xdr:row>14</xdr:row>
      <xdr:rowOff>0</xdr:rowOff>
    </xdr:from>
    <xdr:to>
      <xdr:col>16</xdr:col>
      <xdr:colOff>114300</xdr:colOff>
      <xdr:row>26</xdr:row>
      <xdr:rowOff>121920</xdr:rowOff>
    </xdr:to>
    <xdr:pic>
      <xdr:nvPicPr>
        <xdr:cNvPr id="5150" name="Picture 2" descr="UPN"/>
        <xdr:cNvPicPr>
          <a:picLocks noChangeAspect="1" noChangeArrowheads="1"/>
        </xdr:cNvPicPr>
      </xdr:nvPicPr>
      <xdr:blipFill>
        <a:blip xmlns:r="http://schemas.openxmlformats.org/officeDocument/2006/relationships" r:embed="rId2" cstate="print"/>
        <a:srcRect/>
        <a:stretch>
          <a:fillRect/>
        </a:stretch>
      </xdr:blipFill>
      <xdr:spPr bwMode="auto">
        <a:xfrm>
          <a:off x="6172200" y="2727960"/>
          <a:ext cx="3162300" cy="240792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0</xdr:colOff>
      <xdr:row>7</xdr:row>
      <xdr:rowOff>99060</xdr:rowOff>
    </xdr:from>
    <xdr:to>
      <xdr:col>19</xdr:col>
      <xdr:colOff>464820</xdr:colOff>
      <xdr:row>21</xdr:row>
      <xdr:rowOff>60960</xdr:rowOff>
    </xdr:to>
    <xdr:pic>
      <xdr:nvPicPr>
        <xdr:cNvPr id="4125" name="Picture 2" descr="L1-2"/>
        <xdr:cNvPicPr>
          <a:picLocks noChangeAspect="1" noChangeArrowheads="1"/>
        </xdr:cNvPicPr>
      </xdr:nvPicPr>
      <xdr:blipFill>
        <a:blip xmlns:r="http://schemas.openxmlformats.org/officeDocument/2006/relationships" r:embed="rId1" cstate="print"/>
        <a:srcRect/>
        <a:stretch>
          <a:fillRect/>
        </a:stretch>
      </xdr:blipFill>
      <xdr:spPr bwMode="auto">
        <a:xfrm>
          <a:off x="6736080" y="1493520"/>
          <a:ext cx="4732020" cy="2628900"/>
        </a:xfrm>
        <a:prstGeom prst="rect">
          <a:avLst/>
        </a:prstGeom>
        <a:noFill/>
        <a:ln w="9525">
          <a:noFill/>
          <a:miter lim="800000"/>
          <a:headEnd/>
          <a:tailEnd/>
        </a:ln>
      </xdr:spPr>
    </xdr:pic>
    <xdr:clientData/>
  </xdr:twoCellAnchor>
  <xdr:twoCellAnchor editAs="oneCell">
    <xdr:from>
      <xdr:col>12</xdr:col>
      <xdr:colOff>0</xdr:colOff>
      <xdr:row>24</xdr:row>
      <xdr:rowOff>0</xdr:rowOff>
    </xdr:from>
    <xdr:to>
      <xdr:col>15</xdr:col>
      <xdr:colOff>266700</xdr:colOff>
      <xdr:row>36</xdr:row>
      <xdr:rowOff>38100</xdr:rowOff>
    </xdr:to>
    <xdr:pic>
      <xdr:nvPicPr>
        <xdr:cNvPr id="4126" name="Picture 1"/>
        <xdr:cNvPicPr>
          <a:picLocks noChangeAspect="1" noChangeArrowheads="1"/>
        </xdr:cNvPicPr>
      </xdr:nvPicPr>
      <xdr:blipFill>
        <a:blip xmlns:r="http://schemas.openxmlformats.org/officeDocument/2006/relationships" r:embed="rId2" cstate="print"/>
        <a:srcRect/>
        <a:stretch>
          <a:fillRect/>
        </a:stretch>
      </xdr:blipFill>
      <xdr:spPr bwMode="auto">
        <a:xfrm>
          <a:off x="6736080" y="4632960"/>
          <a:ext cx="2095500" cy="23241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205740</xdr:colOff>
      <xdr:row>0</xdr:row>
      <xdr:rowOff>68580</xdr:rowOff>
    </xdr:from>
    <xdr:to>
      <xdr:col>7</xdr:col>
      <xdr:colOff>228600</xdr:colOff>
      <xdr:row>8</xdr:row>
      <xdr:rowOff>106680</xdr:rowOff>
    </xdr:to>
    <xdr:sp macro="" textlink="">
      <xdr:nvSpPr>
        <xdr:cNvPr id="2" name="Text Box 1"/>
        <xdr:cNvSpPr txBox="1">
          <a:spLocks noChangeArrowheads="1"/>
        </xdr:cNvSpPr>
      </xdr:nvSpPr>
      <xdr:spPr bwMode="auto">
        <a:xfrm>
          <a:off x="2125980" y="68580"/>
          <a:ext cx="1097280" cy="162306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82296" tIns="68580" rIns="0" bIns="0" anchor="t" upright="1"/>
        <a:lstStyle/>
        <a:p>
          <a:pPr algn="l" rtl="0">
            <a:defRPr sz="1000"/>
          </a:pPr>
          <a:r>
            <a:rPr lang="tr-TR" sz="3200" b="1" i="0" u="none" strike="noStrike" baseline="0">
              <a:solidFill>
                <a:srgbClr val="C0C0C0"/>
              </a:solidFill>
              <a:latin typeface="Geneva"/>
            </a:rPr>
            <a:t>HEA</a:t>
          </a:r>
        </a:p>
        <a:p>
          <a:pPr algn="l" rtl="0">
            <a:defRPr sz="1000"/>
          </a:pPr>
          <a:r>
            <a:rPr lang="tr-TR" sz="3200" b="1" i="0" u="none" strike="noStrike" baseline="0">
              <a:solidFill>
                <a:srgbClr val="C0C0C0"/>
              </a:solidFill>
              <a:latin typeface="Geneva"/>
            </a:rPr>
            <a:t>HEB</a:t>
          </a:r>
        </a:p>
        <a:p>
          <a:pPr algn="l" rtl="0">
            <a:defRPr sz="1000"/>
          </a:pPr>
          <a:r>
            <a:rPr lang="tr-TR" sz="3200" b="1" i="0" u="none" strike="noStrike" baseline="0">
              <a:solidFill>
                <a:srgbClr val="C0C0C0"/>
              </a:solidFill>
              <a:latin typeface="Geneva"/>
            </a:rPr>
            <a:t>HEM</a:t>
          </a:r>
        </a:p>
      </xdr:txBody>
    </xdr:sp>
    <xdr:clientData/>
  </xdr:twoCellAnchor>
  <xdr:twoCellAnchor editAs="oneCell">
    <xdr:from>
      <xdr:col>8</xdr:col>
      <xdr:colOff>121920</xdr:colOff>
      <xdr:row>0</xdr:row>
      <xdr:rowOff>0</xdr:rowOff>
    </xdr:from>
    <xdr:to>
      <xdr:col>13</xdr:col>
      <xdr:colOff>198120</xdr:colOff>
      <xdr:row>8</xdr:row>
      <xdr:rowOff>137160</xdr:rowOff>
    </xdr:to>
    <xdr:pic>
      <xdr:nvPicPr>
        <xdr:cNvPr id="3" name="Picture 2" descr="C:\WINDOWS\Desktop\GÜVENTÜRK\Arbed\ARBED CD\CD için Resimler bitince Arbed'e at\HE.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6160" y="0"/>
          <a:ext cx="1866900" cy="1722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137160</xdr:colOff>
      <xdr:row>17</xdr:row>
      <xdr:rowOff>22860</xdr:rowOff>
    </xdr:from>
    <xdr:to>
      <xdr:col>51</xdr:col>
      <xdr:colOff>525780</xdr:colOff>
      <xdr:row>75</xdr:row>
      <xdr:rowOff>7620</xdr:rowOff>
    </xdr:to>
    <xdr:pic>
      <xdr:nvPicPr>
        <xdr:cNvPr id="8204" name="Picture 1" descr="http://www.turgutboru.com/celikborular.JPG"/>
        <xdr:cNvPicPr>
          <a:picLocks noChangeAspect="1" noChangeArrowheads="1"/>
        </xdr:cNvPicPr>
      </xdr:nvPicPr>
      <xdr:blipFill>
        <a:blip xmlns:r="http://schemas.openxmlformats.org/officeDocument/2006/relationships" r:embed="rId1" cstate="print"/>
        <a:srcRect/>
        <a:stretch>
          <a:fillRect/>
        </a:stretch>
      </xdr:blipFill>
      <xdr:spPr bwMode="auto">
        <a:xfrm>
          <a:off x="137160" y="3322320"/>
          <a:ext cx="32392620" cy="984504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www.burakboru.com/fileadmin/templates/img/agirlik.htm"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5.emf"/><Relationship Id="rId4" Type="http://schemas.openxmlformats.org/officeDocument/2006/relationships/oleObject" Target="../embeddings/oleObject1.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6.xml.rels><?xml version="1.0" encoding="UTF-8" standalone="yes"?>
<Relationships xmlns="http://schemas.openxmlformats.org/package/2006/relationships"><Relationship Id="rId3" Type="http://schemas.openxmlformats.org/officeDocument/2006/relationships/hyperlink" Target="http://www.ozturali.com/new/tr/teknik.htm" TargetMode="External"/><Relationship Id="rId2" Type="http://schemas.openxmlformats.org/officeDocument/2006/relationships/hyperlink" Target="http://www.groupenerji.com/sac_agirliklari_olculeri.html" TargetMode="External"/><Relationship Id="rId1" Type="http://schemas.openxmlformats.org/officeDocument/2006/relationships/hyperlink" Target="http://dedeogludemir.com/" TargetMode="External"/><Relationship Id="rId4" Type="http://schemas.openxmlformats.org/officeDocument/2006/relationships/printerSettings" Target="../printerSettings/printerSettings3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52" zoomScaleNormal="52" workbookViewId="0">
      <selection activeCell="Z46" sqref="Z46"/>
    </sheetView>
  </sheetViews>
  <sheetFormatPr defaultRowHeight="13.2"/>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5"/>
  </sheetPr>
  <dimension ref="B1:R38"/>
  <sheetViews>
    <sheetView showGridLines="0" workbookViewId="0">
      <pane xSplit="1" ySplit="2" topLeftCell="B3" activePane="bottomRight" state="frozen"/>
      <selection pane="topRight" activeCell="B1" sqref="B1"/>
      <selection pane="bottomLeft" activeCell="A4" sqref="A4"/>
      <selection pane="bottomRight" activeCell="B1" sqref="B1:R1"/>
    </sheetView>
  </sheetViews>
  <sheetFormatPr defaultRowHeight="13.2"/>
  <cols>
    <col min="1" max="1" width="2.6640625" customWidth="1"/>
    <col min="2" max="2" width="8.6640625" customWidth="1"/>
    <col min="3" max="18" width="6.6640625" customWidth="1"/>
  </cols>
  <sheetData>
    <row r="1" spans="2:18" ht="20.100000000000001" customHeight="1" thickBot="1">
      <c r="B1" s="509" t="s">
        <v>50</v>
      </c>
      <c r="C1" s="509"/>
      <c r="D1" s="509"/>
      <c r="E1" s="509"/>
      <c r="F1" s="509"/>
      <c r="G1" s="509"/>
      <c r="H1" s="509"/>
      <c r="I1" s="509"/>
      <c r="J1" s="509"/>
      <c r="K1" s="509"/>
      <c r="L1" s="509"/>
      <c r="M1" s="509"/>
      <c r="N1" s="509"/>
      <c r="O1" s="509"/>
      <c r="P1" s="509"/>
      <c r="Q1" s="509"/>
      <c r="R1" s="509"/>
    </row>
    <row r="2" spans="2:18" ht="30" customHeight="1" thickTop="1">
      <c r="B2" s="56" t="s">
        <v>48</v>
      </c>
      <c r="C2" s="59">
        <v>5</v>
      </c>
      <c r="D2" s="59">
        <v>6</v>
      </c>
      <c r="E2" s="59">
        <v>6.5</v>
      </c>
      <c r="F2" s="59">
        <v>7</v>
      </c>
      <c r="G2" s="59">
        <v>8</v>
      </c>
      <c r="H2" s="59">
        <v>9</v>
      </c>
      <c r="I2" s="59">
        <v>10</v>
      </c>
      <c r="J2" s="59">
        <v>11</v>
      </c>
      <c r="K2" s="59">
        <v>12</v>
      </c>
      <c r="L2" s="59">
        <v>13</v>
      </c>
      <c r="M2" s="59">
        <v>14</v>
      </c>
      <c r="N2" s="59">
        <v>15</v>
      </c>
      <c r="O2" s="59">
        <v>16</v>
      </c>
      <c r="P2" s="59">
        <v>17</v>
      </c>
      <c r="Q2" s="59">
        <v>18</v>
      </c>
      <c r="R2" s="63">
        <v>20</v>
      </c>
    </row>
    <row r="3" spans="2:18" ht="15" customHeight="1">
      <c r="B3" s="57">
        <v>12</v>
      </c>
      <c r="C3" s="62">
        <f t="shared" ref="C3:R12" si="0">($B3*C$2*7850)/1000000</f>
        <v>0.47099999999999997</v>
      </c>
      <c r="D3" s="62">
        <f t="shared" si="0"/>
        <v>0.56520000000000004</v>
      </c>
      <c r="E3" s="44">
        <f t="shared" si="0"/>
        <v>0.61229999999999996</v>
      </c>
      <c r="F3" s="44">
        <f t="shared" si="0"/>
        <v>0.65939999999999999</v>
      </c>
      <c r="G3" s="44">
        <f t="shared" si="0"/>
        <v>0.75360000000000005</v>
      </c>
      <c r="H3" s="44">
        <f t="shared" si="0"/>
        <v>0.8478</v>
      </c>
      <c r="I3" s="48">
        <f t="shared" si="0"/>
        <v>0.94199999999999995</v>
      </c>
      <c r="J3" s="48">
        <f t="shared" si="0"/>
        <v>1.0362</v>
      </c>
      <c r="K3" s="48">
        <f t="shared" si="0"/>
        <v>1.1304000000000001</v>
      </c>
      <c r="L3" s="48">
        <f t="shared" si="0"/>
        <v>1.2245999999999999</v>
      </c>
      <c r="M3" s="48">
        <f t="shared" si="0"/>
        <v>1.3188</v>
      </c>
      <c r="N3" s="48">
        <f t="shared" si="0"/>
        <v>1.413</v>
      </c>
      <c r="O3" s="48">
        <f t="shared" si="0"/>
        <v>1.5072000000000001</v>
      </c>
      <c r="P3" s="48">
        <f t="shared" si="0"/>
        <v>1.6013999999999999</v>
      </c>
      <c r="Q3" s="48">
        <f t="shared" si="0"/>
        <v>1.6956</v>
      </c>
      <c r="R3" s="50">
        <f t="shared" si="0"/>
        <v>1.8839999999999999</v>
      </c>
    </row>
    <row r="4" spans="2:18" ht="15" customHeight="1">
      <c r="B4" s="14">
        <v>13</v>
      </c>
      <c r="C4" s="62">
        <f t="shared" si="0"/>
        <v>0.51024999999999998</v>
      </c>
      <c r="D4" s="62">
        <f t="shared" si="0"/>
        <v>0.61229999999999996</v>
      </c>
      <c r="E4" s="62">
        <f t="shared" si="0"/>
        <v>0.66332500000000005</v>
      </c>
      <c r="F4" s="62">
        <f t="shared" si="0"/>
        <v>0.71435000000000004</v>
      </c>
      <c r="G4" s="62">
        <f t="shared" si="0"/>
        <v>0.81640000000000001</v>
      </c>
      <c r="H4" s="62">
        <f t="shared" si="0"/>
        <v>0.91844999999999999</v>
      </c>
      <c r="I4" s="48">
        <f t="shared" si="0"/>
        <v>1.0205</v>
      </c>
      <c r="J4" s="48">
        <f t="shared" si="0"/>
        <v>1.1225499999999999</v>
      </c>
      <c r="K4" s="48">
        <f t="shared" si="0"/>
        <v>1.2245999999999999</v>
      </c>
      <c r="L4" s="48">
        <f t="shared" si="0"/>
        <v>1.3266500000000001</v>
      </c>
      <c r="M4" s="48">
        <f t="shared" si="0"/>
        <v>1.4287000000000001</v>
      </c>
      <c r="N4" s="48">
        <f t="shared" si="0"/>
        <v>1.5307500000000001</v>
      </c>
      <c r="O4" s="48">
        <f t="shared" si="0"/>
        <v>1.6328</v>
      </c>
      <c r="P4" s="48">
        <f t="shared" si="0"/>
        <v>1.73485</v>
      </c>
      <c r="Q4" s="48">
        <f t="shared" si="0"/>
        <v>1.8369</v>
      </c>
      <c r="R4" s="50">
        <f t="shared" si="0"/>
        <v>2.0409999999999999</v>
      </c>
    </row>
    <row r="5" spans="2:18" ht="15" customHeight="1">
      <c r="B5" s="14">
        <v>14</v>
      </c>
      <c r="C5" s="62">
        <f t="shared" si="0"/>
        <v>0.54949999999999999</v>
      </c>
      <c r="D5" s="62">
        <f t="shared" si="0"/>
        <v>0.65939999999999999</v>
      </c>
      <c r="E5" s="44">
        <f t="shared" si="0"/>
        <v>0.71435000000000004</v>
      </c>
      <c r="F5" s="62">
        <f t="shared" si="0"/>
        <v>0.76929999999999998</v>
      </c>
      <c r="G5" s="62">
        <f t="shared" si="0"/>
        <v>0.87919999999999998</v>
      </c>
      <c r="H5" s="44">
        <f t="shared" si="0"/>
        <v>0.98909999999999998</v>
      </c>
      <c r="I5" s="48">
        <f t="shared" si="0"/>
        <v>1.099</v>
      </c>
      <c r="J5" s="48">
        <f t="shared" si="0"/>
        <v>1.2089000000000001</v>
      </c>
      <c r="K5" s="48">
        <f t="shared" si="0"/>
        <v>1.3188</v>
      </c>
      <c r="L5" s="48">
        <f t="shared" si="0"/>
        <v>1.4287000000000001</v>
      </c>
      <c r="M5" s="48">
        <f t="shared" si="0"/>
        <v>1.5386</v>
      </c>
      <c r="N5" s="48">
        <f t="shared" si="0"/>
        <v>1.6485000000000001</v>
      </c>
      <c r="O5" s="48">
        <f t="shared" si="0"/>
        <v>1.7584</v>
      </c>
      <c r="P5" s="48">
        <f t="shared" si="0"/>
        <v>1.8683000000000001</v>
      </c>
      <c r="Q5" s="48">
        <f t="shared" si="0"/>
        <v>1.9782</v>
      </c>
      <c r="R5" s="50">
        <f t="shared" si="0"/>
        <v>2.198</v>
      </c>
    </row>
    <row r="6" spans="2:18" ht="15" customHeight="1">
      <c r="B6" s="14">
        <v>15</v>
      </c>
      <c r="C6" s="62">
        <f t="shared" si="0"/>
        <v>0.58875</v>
      </c>
      <c r="D6" s="62">
        <f t="shared" si="0"/>
        <v>0.70650000000000002</v>
      </c>
      <c r="E6" s="44">
        <f t="shared" si="0"/>
        <v>0.76537500000000003</v>
      </c>
      <c r="F6" s="62">
        <f t="shared" si="0"/>
        <v>0.82425000000000004</v>
      </c>
      <c r="G6" s="62">
        <f t="shared" si="0"/>
        <v>0.94199999999999995</v>
      </c>
      <c r="H6" s="44">
        <f t="shared" si="0"/>
        <v>1.05975</v>
      </c>
      <c r="I6" s="52">
        <f t="shared" si="0"/>
        <v>1.1775</v>
      </c>
      <c r="J6" s="48">
        <f t="shared" si="0"/>
        <v>1.29525</v>
      </c>
      <c r="K6" s="48">
        <f t="shared" si="0"/>
        <v>1.413</v>
      </c>
      <c r="L6" s="48">
        <f t="shared" si="0"/>
        <v>1.5307500000000001</v>
      </c>
      <c r="M6" s="48">
        <f t="shared" si="0"/>
        <v>1.6485000000000001</v>
      </c>
      <c r="N6" s="48">
        <f t="shared" si="0"/>
        <v>1.7662500000000001</v>
      </c>
      <c r="O6" s="48">
        <f t="shared" si="0"/>
        <v>1.8839999999999999</v>
      </c>
      <c r="P6" s="48">
        <f t="shared" si="0"/>
        <v>2.0017499999999999</v>
      </c>
      <c r="Q6" s="48">
        <f t="shared" si="0"/>
        <v>2.1194999999999999</v>
      </c>
      <c r="R6" s="50">
        <f t="shared" si="0"/>
        <v>2.355</v>
      </c>
    </row>
    <row r="7" spans="2:18" ht="15" customHeight="1">
      <c r="B7" s="14">
        <v>16</v>
      </c>
      <c r="C7" s="62">
        <f t="shared" si="0"/>
        <v>0.628</v>
      </c>
      <c r="D7" s="62">
        <f t="shared" si="0"/>
        <v>0.75360000000000005</v>
      </c>
      <c r="E7" s="62">
        <f t="shared" si="0"/>
        <v>0.81640000000000001</v>
      </c>
      <c r="F7" s="62">
        <f t="shared" si="0"/>
        <v>0.87919999999999998</v>
      </c>
      <c r="G7" s="62">
        <f t="shared" si="0"/>
        <v>1.0047999999999999</v>
      </c>
      <c r="H7" s="62">
        <f t="shared" si="0"/>
        <v>1.1304000000000001</v>
      </c>
      <c r="I7" s="52">
        <f t="shared" si="0"/>
        <v>1.256</v>
      </c>
      <c r="J7" s="52">
        <f t="shared" si="0"/>
        <v>1.3815999999999999</v>
      </c>
      <c r="K7" s="48">
        <f t="shared" si="0"/>
        <v>1.5072000000000001</v>
      </c>
      <c r="L7" s="48">
        <f t="shared" si="0"/>
        <v>1.6328</v>
      </c>
      <c r="M7" s="48">
        <f t="shared" si="0"/>
        <v>1.7584</v>
      </c>
      <c r="N7" s="48">
        <f t="shared" si="0"/>
        <v>1.8839999999999999</v>
      </c>
      <c r="O7" s="48">
        <f t="shared" si="0"/>
        <v>2.0095999999999998</v>
      </c>
      <c r="P7" s="48">
        <f t="shared" si="0"/>
        <v>2.1352000000000002</v>
      </c>
      <c r="Q7" s="48">
        <f t="shared" si="0"/>
        <v>2.2608000000000001</v>
      </c>
      <c r="R7" s="50">
        <f t="shared" si="0"/>
        <v>2.512</v>
      </c>
    </row>
    <row r="8" spans="2:18" ht="15" customHeight="1">
      <c r="B8" s="14">
        <v>17</v>
      </c>
      <c r="C8" s="62">
        <f t="shared" si="0"/>
        <v>0.66725000000000001</v>
      </c>
      <c r="D8" s="62">
        <f t="shared" si="0"/>
        <v>0.80069999999999997</v>
      </c>
      <c r="E8" s="44">
        <f t="shared" si="0"/>
        <v>0.867425</v>
      </c>
      <c r="F8" s="62">
        <f t="shared" si="0"/>
        <v>0.93415000000000004</v>
      </c>
      <c r="G8" s="62">
        <f t="shared" si="0"/>
        <v>1.0676000000000001</v>
      </c>
      <c r="H8" s="44">
        <f t="shared" si="0"/>
        <v>1.20105</v>
      </c>
      <c r="I8" s="48">
        <f t="shared" si="0"/>
        <v>1.3345</v>
      </c>
      <c r="J8" s="52">
        <f t="shared" si="0"/>
        <v>1.4679500000000001</v>
      </c>
      <c r="K8" s="48">
        <f t="shared" si="0"/>
        <v>1.6013999999999999</v>
      </c>
      <c r="L8" s="48">
        <f t="shared" si="0"/>
        <v>1.73485</v>
      </c>
      <c r="M8" s="48">
        <f t="shared" si="0"/>
        <v>1.8683000000000001</v>
      </c>
      <c r="N8" s="48">
        <f t="shared" si="0"/>
        <v>2.0017499999999999</v>
      </c>
      <c r="O8" s="48">
        <f t="shared" si="0"/>
        <v>2.1352000000000002</v>
      </c>
      <c r="P8" s="48">
        <f t="shared" si="0"/>
        <v>2.2686500000000001</v>
      </c>
      <c r="Q8" s="48">
        <f t="shared" si="0"/>
        <v>2.4020999999999999</v>
      </c>
      <c r="R8" s="50">
        <f t="shared" si="0"/>
        <v>2.669</v>
      </c>
    </row>
    <row r="9" spans="2:18" ht="15" customHeight="1">
      <c r="B9" s="14">
        <v>18</v>
      </c>
      <c r="C9" s="62">
        <f t="shared" si="0"/>
        <v>0.70650000000000002</v>
      </c>
      <c r="D9" s="62">
        <f t="shared" si="0"/>
        <v>0.8478</v>
      </c>
      <c r="E9" s="62">
        <f t="shared" si="0"/>
        <v>0.91844999999999999</v>
      </c>
      <c r="F9" s="62">
        <f t="shared" si="0"/>
        <v>0.98909999999999998</v>
      </c>
      <c r="G9" s="62">
        <f t="shared" si="0"/>
        <v>1.1304000000000001</v>
      </c>
      <c r="H9" s="62">
        <f t="shared" si="0"/>
        <v>1.2717000000000001</v>
      </c>
      <c r="I9" s="52">
        <f t="shared" si="0"/>
        <v>1.413</v>
      </c>
      <c r="J9" s="52">
        <f t="shared" si="0"/>
        <v>1.5543</v>
      </c>
      <c r="K9" s="48">
        <f t="shared" si="0"/>
        <v>1.6956</v>
      </c>
      <c r="L9" s="48">
        <f t="shared" si="0"/>
        <v>1.8369</v>
      </c>
      <c r="M9" s="48">
        <f t="shared" si="0"/>
        <v>1.9782</v>
      </c>
      <c r="N9" s="48">
        <f t="shared" si="0"/>
        <v>2.1194999999999999</v>
      </c>
      <c r="O9" s="48">
        <f t="shared" si="0"/>
        <v>2.2608000000000001</v>
      </c>
      <c r="P9" s="48">
        <f t="shared" si="0"/>
        <v>2.4020999999999999</v>
      </c>
      <c r="Q9" s="48">
        <f t="shared" si="0"/>
        <v>2.5434000000000001</v>
      </c>
      <c r="R9" s="50">
        <f t="shared" si="0"/>
        <v>2.8260000000000001</v>
      </c>
    </row>
    <row r="10" spans="2:18" ht="15" customHeight="1">
      <c r="B10" s="14">
        <v>19</v>
      </c>
      <c r="C10" s="62">
        <f t="shared" si="0"/>
        <v>0.74575000000000002</v>
      </c>
      <c r="D10" s="62">
        <f t="shared" si="0"/>
        <v>0.89490000000000003</v>
      </c>
      <c r="E10" s="44">
        <f t="shared" si="0"/>
        <v>0.96947499999999998</v>
      </c>
      <c r="F10" s="62">
        <f t="shared" si="0"/>
        <v>1.0440499999999999</v>
      </c>
      <c r="G10" s="62">
        <f t="shared" si="0"/>
        <v>1.1932</v>
      </c>
      <c r="H10" s="62">
        <f t="shared" si="0"/>
        <v>1.3423499999999999</v>
      </c>
      <c r="I10" s="48">
        <f t="shared" si="0"/>
        <v>1.4915</v>
      </c>
      <c r="J10" s="52">
        <f t="shared" si="0"/>
        <v>1.6406499999999999</v>
      </c>
      <c r="K10" s="48">
        <f t="shared" si="0"/>
        <v>1.7898000000000001</v>
      </c>
      <c r="L10" s="52">
        <f t="shared" si="0"/>
        <v>1.93895</v>
      </c>
      <c r="M10" s="48">
        <f t="shared" si="0"/>
        <v>2.0880999999999998</v>
      </c>
      <c r="N10" s="48">
        <f t="shared" si="0"/>
        <v>2.23725</v>
      </c>
      <c r="O10" s="48">
        <f t="shared" si="0"/>
        <v>2.3864000000000001</v>
      </c>
      <c r="P10" s="48">
        <f t="shared" si="0"/>
        <v>2.5355500000000002</v>
      </c>
      <c r="Q10" s="48">
        <f t="shared" si="0"/>
        <v>2.6846999999999999</v>
      </c>
      <c r="R10" s="50">
        <f t="shared" si="0"/>
        <v>2.9830000000000001</v>
      </c>
    </row>
    <row r="11" spans="2:18" ht="15" customHeight="1">
      <c r="B11" s="14">
        <v>20</v>
      </c>
      <c r="C11" s="62">
        <f t="shared" si="0"/>
        <v>0.78500000000000003</v>
      </c>
      <c r="D11" s="62">
        <f t="shared" si="0"/>
        <v>0.94199999999999995</v>
      </c>
      <c r="E11" s="62">
        <f t="shared" si="0"/>
        <v>1.0205</v>
      </c>
      <c r="F11" s="62">
        <f t="shared" si="0"/>
        <v>1.099</v>
      </c>
      <c r="G11" s="62">
        <f t="shared" si="0"/>
        <v>1.256</v>
      </c>
      <c r="H11" s="62">
        <f t="shared" si="0"/>
        <v>1.413</v>
      </c>
      <c r="I11" s="52">
        <f t="shared" si="0"/>
        <v>1.57</v>
      </c>
      <c r="J11" s="48">
        <f t="shared" si="0"/>
        <v>1.7270000000000001</v>
      </c>
      <c r="K11" s="52">
        <f t="shared" si="0"/>
        <v>1.8839999999999999</v>
      </c>
      <c r="L11" s="52">
        <f t="shared" si="0"/>
        <v>2.0409999999999999</v>
      </c>
      <c r="M11" s="48">
        <f t="shared" si="0"/>
        <v>2.198</v>
      </c>
      <c r="N11" s="48">
        <f t="shared" si="0"/>
        <v>2.355</v>
      </c>
      <c r="O11" s="48">
        <f t="shared" si="0"/>
        <v>2.512</v>
      </c>
      <c r="P11" s="48">
        <f t="shared" si="0"/>
        <v>2.669</v>
      </c>
      <c r="Q11" s="48">
        <f t="shared" si="0"/>
        <v>2.8260000000000001</v>
      </c>
      <c r="R11" s="50">
        <f t="shared" si="0"/>
        <v>3.14</v>
      </c>
    </row>
    <row r="12" spans="2:18" ht="15" customHeight="1">
      <c r="B12" s="14">
        <v>22</v>
      </c>
      <c r="C12" s="62">
        <f t="shared" si="0"/>
        <v>0.86350000000000005</v>
      </c>
      <c r="D12" s="62">
        <f t="shared" si="0"/>
        <v>1.0362</v>
      </c>
      <c r="E12" s="62">
        <f t="shared" si="0"/>
        <v>1.1225499999999999</v>
      </c>
      <c r="F12" s="62">
        <f t="shared" si="0"/>
        <v>1.2089000000000001</v>
      </c>
      <c r="G12" s="62">
        <f t="shared" si="0"/>
        <v>1.3815999999999999</v>
      </c>
      <c r="H12" s="44">
        <f t="shared" si="0"/>
        <v>1.5543</v>
      </c>
      <c r="I12" s="52">
        <f t="shared" si="0"/>
        <v>1.7270000000000001</v>
      </c>
      <c r="J12" s="52">
        <f t="shared" si="0"/>
        <v>1.8996999999999999</v>
      </c>
      <c r="K12" s="52">
        <f t="shared" si="0"/>
        <v>2.0724</v>
      </c>
      <c r="L12" s="52">
        <f t="shared" si="0"/>
        <v>2.2450999999999999</v>
      </c>
      <c r="M12" s="52">
        <f t="shared" si="0"/>
        <v>2.4178000000000002</v>
      </c>
      <c r="N12" s="52">
        <f t="shared" si="0"/>
        <v>2.5905</v>
      </c>
      <c r="O12" s="48">
        <f t="shared" si="0"/>
        <v>2.7631999999999999</v>
      </c>
      <c r="P12" s="52">
        <f t="shared" si="0"/>
        <v>2.9359000000000002</v>
      </c>
      <c r="Q12" s="48">
        <f t="shared" si="0"/>
        <v>3.1086</v>
      </c>
      <c r="R12" s="50">
        <f t="shared" si="0"/>
        <v>3.4540000000000002</v>
      </c>
    </row>
    <row r="13" spans="2:18" ht="15" customHeight="1">
      <c r="B13" s="14">
        <v>25</v>
      </c>
      <c r="C13" s="52">
        <f t="shared" ref="C13:R22" si="1">($B13*C$2*7850)/1000000</f>
        <v>0.98124999999999996</v>
      </c>
      <c r="D13" s="52">
        <f t="shared" si="1"/>
        <v>1.1775</v>
      </c>
      <c r="E13" s="52">
        <f t="shared" si="1"/>
        <v>1.275625</v>
      </c>
      <c r="F13" s="52">
        <f t="shared" si="1"/>
        <v>1.37375</v>
      </c>
      <c r="G13" s="52">
        <f t="shared" si="1"/>
        <v>1.57</v>
      </c>
      <c r="H13" s="48">
        <f t="shared" si="1"/>
        <v>1.7662500000000001</v>
      </c>
      <c r="I13" s="52">
        <f t="shared" si="1"/>
        <v>1.9624999999999999</v>
      </c>
      <c r="J13" s="48">
        <f t="shared" si="1"/>
        <v>2.1587499999999999</v>
      </c>
      <c r="K13" s="52">
        <f t="shared" si="1"/>
        <v>2.355</v>
      </c>
      <c r="L13" s="52">
        <f t="shared" si="1"/>
        <v>2.55125</v>
      </c>
      <c r="M13" s="52">
        <f t="shared" si="1"/>
        <v>2.7475000000000001</v>
      </c>
      <c r="N13" s="52">
        <f t="shared" si="1"/>
        <v>2.9437500000000001</v>
      </c>
      <c r="O13" s="52">
        <f t="shared" si="1"/>
        <v>3.14</v>
      </c>
      <c r="P13" s="48">
        <f t="shared" si="1"/>
        <v>3.3362500000000002</v>
      </c>
      <c r="Q13" s="48">
        <f t="shared" si="1"/>
        <v>3.5325000000000002</v>
      </c>
      <c r="R13" s="50">
        <f t="shared" si="1"/>
        <v>3.9249999999999998</v>
      </c>
    </row>
    <row r="14" spans="2:18" ht="15" customHeight="1">
      <c r="B14" s="14">
        <v>26</v>
      </c>
      <c r="C14" s="52">
        <f t="shared" si="1"/>
        <v>1.0205</v>
      </c>
      <c r="D14" s="52">
        <f t="shared" si="1"/>
        <v>1.2245999999999999</v>
      </c>
      <c r="E14" s="52">
        <f t="shared" si="1"/>
        <v>1.3266500000000001</v>
      </c>
      <c r="F14" s="52">
        <f t="shared" si="1"/>
        <v>1.4287000000000001</v>
      </c>
      <c r="G14" s="52">
        <f t="shared" si="1"/>
        <v>1.6328</v>
      </c>
      <c r="H14" s="48">
        <f t="shared" si="1"/>
        <v>1.8369</v>
      </c>
      <c r="I14" s="52">
        <f t="shared" si="1"/>
        <v>2.0409999999999999</v>
      </c>
      <c r="J14" s="48">
        <f t="shared" si="1"/>
        <v>2.2450999999999999</v>
      </c>
      <c r="K14" s="52">
        <f t="shared" si="1"/>
        <v>2.4491999999999998</v>
      </c>
      <c r="L14" s="52">
        <f t="shared" si="1"/>
        <v>2.6533000000000002</v>
      </c>
      <c r="M14" s="52">
        <f t="shared" si="1"/>
        <v>2.8574000000000002</v>
      </c>
      <c r="N14" s="52">
        <f t="shared" si="1"/>
        <v>3.0615000000000001</v>
      </c>
      <c r="O14" s="52">
        <f t="shared" si="1"/>
        <v>3.2656000000000001</v>
      </c>
      <c r="P14" s="48">
        <f t="shared" si="1"/>
        <v>3.4697</v>
      </c>
      <c r="Q14" s="52">
        <f t="shared" si="1"/>
        <v>3.6738</v>
      </c>
      <c r="R14" s="53">
        <f t="shared" si="1"/>
        <v>4.0819999999999999</v>
      </c>
    </row>
    <row r="15" spans="2:18" ht="15" customHeight="1">
      <c r="B15" s="14">
        <v>28</v>
      </c>
      <c r="C15" s="52">
        <f t="shared" si="1"/>
        <v>1.099</v>
      </c>
      <c r="D15" s="52">
        <f t="shared" si="1"/>
        <v>1.3188</v>
      </c>
      <c r="E15" s="52">
        <f t="shared" si="1"/>
        <v>1.4287000000000001</v>
      </c>
      <c r="F15" s="52">
        <f t="shared" si="1"/>
        <v>1.5386</v>
      </c>
      <c r="G15" s="52">
        <f t="shared" si="1"/>
        <v>1.7584</v>
      </c>
      <c r="H15" s="48">
        <f t="shared" si="1"/>
        <v>1.9782</v>
      </c>
      <c r="I15" s="52">
        <f t="shared" si="1"/>
        <v>2.198</v>
      </c>
      <c r="J15" s="48">
        <f t="shared" si="1"/>
        <v>2.4178000000000002</v>
      </c>
      <c r="K15" s="52">
        <f t="shared" si="1"/>
        <v>2.6375999999999999</v>
      </c>
      <c r="L15" s="52">
        <f t="shared" si="1"/>
        <v>2.8574000000000002</v>
      </c>
      <c r="M15" s="52">
        <f t="shared" si="1"/>
        <v>3.0771999999999999</v>
      </c>
      <c r="N15" s="48">
        <f t="shared" si="1"/>
        <v>3.2970000000000002</v>
      </c>
      <c r="O15" s="52">
        <f t="shared" si="1"/>
        <v>3.5167999999999999</v>
      </c>
      <c r="P15" s="48">
        <f t="shared" si="1"/>
        <v>3.7366000000000001</v>
      </c>
      <c r="Q15" s="52">
        <f t="shared" si="1"/>
        <v>3.9563999999999999</v>
      </c>
      <c r="R15" s="50">
        <f t="shared" si="1"/>
        <v>4.3959999999999999</v>
      </c>
    </row>
    <row r="16" spans="2:18" ht="15" customHeight="1">
      <c r="B16" s="14">
        <v>30</v>
      </c>
      <c r="C16" s="52">
        <f t="shared" si="1"/>
        <v>1.1775</v>
      </c>
      <c r="D16" s="52">
        <f t="shared" si="1"/>
        <v>1.413</v>
      </c>
      <c r="E16" s="52">
        <f t="shared" si="1"/>
        <v>1.5307500000000001</v>
      </c>
      <c r="F16" s="52">
        <f t="shared" si="1"/>
        <v>1.6485000000000001</v>
      </c>
      <c r="G16" s="52">
        <f t="shared" si="1"/>
        <v>1.8839999999999999</v>
      </c>
      <c r="H16" s="52">
        <f t="shared" si="1"/>
        <v>2.1194999999999999</v>
      </c>
      <c r="I16" s="52">
        <f t="shared" si="1"/>
        <v>2.355</v>
      </c>
      <c r="J16" s="48">
        <f t="shared" si="1"/>
        <v>2.5905</v>
      </c>
      <c r="K16" s="52">
        <f t="shared" si="1"/>
        <v>2.8260000000000001</v>
      </c>
      <c r="L16" s="52">
        <f t="shared" si="1"/>
        <v>3.0615000000000001</v>
      </c>
      <c r="M16" s="52">
        <f t="shared" si="1"/>
        <v>3.2970000000000002</v>
      </c>
      <c r="N16" s="52">
        <f t="shared" si="1"/>
        <v>3.5325000000000002</v>
      </c>
      <c r="O16" s="52">
        <f t="shared" si="1"/>
        <v>3.7679999999999998</v>
      </c>
      <c r="P16" s="48">
        <f t="shared" si="1"/>
        <v>4.0034999999999998</v>
      </c>
      <c r="Q16" s="52">
        <f t="shared" si="1"/>
        <v>4.2389999999999999</v>
      </c>
      <c r="R16" s="53">
        <f t="shared" si="1"/>
        <v>4.71</v>
      </c>
    </row>
    <row r="17" spans="2:18" ht="15" customHeight="1">
      <c r="B17" s="14">
        <v>32</v>
      </c>
      <c r="C17" s="52">
        <f t="shared" si="1"/>
        <v>1.256</v>
      </c>
      <c r="D17" s="52">
        <f t="shared" si="1"/>
        <v>1.5072000000000001</v>
      </c>
      <c r="E17" s="52">
        <f t="shared" si="1"/>
        <v>1.6328</v>
      </c>
      <c r="F17" s="48">
        <f t="shared" si="1"/>
        <v>1.7584</v>
      </c>
      <c r="G17" s="52">
        <f t="shared" si="1"/>
        <v>2.0095999999999998</v>
      </c>
      <c r="H17" s="48">
        <f t="shared" si="1"/>
        <v>2.2608000000000001</v>
      </c>
      <c r="I17" s="52">
        <f t="shared" si="1"/>
        <v>2.512</v>
      </c>
      <c r="J17" s="48">
        <f t="shared" si="1"/>
        <v>2.7631999999999999</v>
      </c>
      <c r="K17" s="52">
        <f t="shared" si="1"/>
        <v>3.0144000000000002</v>
      </c>
      <c r="L17" s="52">
        <f t="shared" si="1"/>
        <v>3.2656000000000001</v>
      </c>
      <c r="M17" s="52">
        <f t="shared" si="1"/>
        <v>3.5167999999999999</v>
      </c>
      <c r="N17" s="52">
        <f t="shared" si="1"/>
        <v>3.7679999999999998</v>
      </c>
      <c r="O17" s="52">
        <f t="shared" si="1"/>
        <v>4.0191999999999997</v>
      </c>
      <c r="P17" s="48">
        <f t="shared" si="1"/>
        <v>4.2704000000000004</v>
      </c>
      <c r="Q17" s="48">
        <f t="shared" si="1"/>
        <v>4.5216000000000003</v>
      </c>
      <c r="R17" s="53">
        <f t="shared" si="1"/>
        <v>5.024</v>
      </c>
    </row>
    <row r="18" spans="2:18" ht="15" customHeight="1">
      <c r="B18" s="14">
        <v>35</v>
      </c>
      <c r="C18" s="52">
        <f t="shared" si="1"/>
        <v>1.37375</v>
      </c>
      <c r="D18" s="52">
        <f t="shared" si="1"/>
        <v>1.6485000000000001</v>
      </c>
      <c r="E18" s="52">
        <f t="shared" si="1"/>
        <v>1.7858750000000001</v>
      </c>
      <c r="F18" s="52">
        <f t="shared" si="1"/>
        <v>1.9232499999999999</v>
      </c>
      <c r="G18" s="52">
        <f t="shared" si="1"/>
        <v>2.198</v>
      </c>
      <c r="H18" s="48">
        <f t="shared" si="1"/>
        <v>2.47275</v>
      </c>
      <c r="I18" s="52">
        <f t="shared" si="1"/>
        <v>2.7475000000000001</v>
      </c>
      <c r="J18" s="48">
        <f t="shared" si="1"/>
        <v>3.0222500000000001</v>
      </c>
      <c r="K18" s="52">
        <f t="shared" si="1"/>
        <v>3.2970000000000002</v>
      </c>
      <c r="L18" s="52">
        <f t="shared" si="1"/>
        <v>3.5717500000000002</v>
      </c>
      <c r="M18" s="52">
        <f t="shared" si="1"/>
        <v>3.8464999999999998</v>
      </c>
      <c r="N18" s="52">
        <f t="shared" si="1"/>
        <v>4.1212499999999999</v>
      </c>
      <c r="O18" s="52">
        <f t="shared" si="1"/>
        <v>4.3959999999999999</v>
      </c>
      <c r="P18" s="48">
        <f t="shared" si="1"/>
        <v>4.67075</v>
      </c>
      <c r="Q18" s="52">
        <f t="shared" si="1"/>
        <v>4.9455</v>
      </c>
      <c r="R18" s="53">
        <f t="shared" si="1"/>
        <v>5.4950000000000001</v>
      </c>
    </row>
    <row r="19" spans="2:18" ht="15" customHeight="1">
      <c r="B19" s="14">
        <v>38</v>
      </c>
      <c r="C19" s="52">
        <f t="shared" si="1"/>
        <v>1.4915</v>
      </c>
      <c r="D19" s="52">
        <f t="shared" si="1"/>
        <v>1.7898000000000001</v>
      </c>
      <c r="E19" s="52">
        <f t="shared" si="1"/>
        <v>1.93895</v>
      </c>
      <c r="F19" s="48">
        <f t="shared" si="1"/>
        <v>2.0880999999999998</v>
      </c>
      <c r="G19" s="52">
        <f t="shared" si="1"/>
        <v>2.3864000000000001</v>
      </c>
      <c r="H19" s="48">
        <f t="shared" si="1"/>
        <v>2.6846999999999999</v>
      </c>
      <c r="I19" s="52">
        <f t="shared" si="1"/>
        <v>2.9830000000000001</v>
      </c>
      <c r="J19" s="48">
        <f t="shared" si="1"/>
        <v>3.2812999999999999</v>
      </c>
      <c r="K19" s="52">
        <f t="shared" si="1"/>
        <v>3.5796000000000001</v>
      </c>
      <c r="L19" s="52">
        <f t="shared" si="1"/>
        <v>3.8778999999999999</v>
      </c>
      <c r="M19" s="52">
        <f t="shared" si="1"/>
        <v>4.1761999999999997</v>
      </c>
      <c r="N19" s="52">
        <f t="shared" si="1"/>
        <v>4.4744999999999999</v>
      </c>
      <c r="O19" s="52">
        <f t="shared" si="1"/>
        <v>4.7728000000000002</v>
      </c>
      <c r="P19" s="48">
        <f t="shared" si="1"/>
        <v>5.0711000000000004</v>
      </c>
      <c r="Q19" s="48">
        <f t="shared" si="1"/>
        <v>5.3693999999999997</v>
      </c>
      <c r="R19" s="53">
        <f t="shared" si="1"/>
        <v>5.9660000000000002</v>
      </c>
    </row>
    <row r="20" spans="2:18" ht="15" customHeight="1">
      <c r="B20" s="14">
        <v>40</v>
      </c>
      <c r="C20" s="52">
        <f t="shared" si="1"/>
        <v>1.57</v>
      </c>
      <c r="D20" s="52">
        <f t="shared" si="1"/>
        <v>1.8839999999999999</v>
      </c>
      <c r="E20" s="52">
        <f t="shared" si="1"/>
        <v>2.0409999999999999</v>
      </c>
      <c r="F20" s="52">
        <f t="shared" si="1"/>
        <v>2.198</v>
      </c>
      <c r="G20" s="52">
        <f t="shared" si="1"/>
        <v>2.512</v>
      </c>
      <c r="H20" s="52">
        <f t="shared" si="1"/>
        <v>2.8260000000000001</v>
      </c>
      <c r="I20" s="52">
        <f t="shared" si="1"/>
        <v>3.14</v>
      </c>
      <c r="J20" s="48">
        <f t="shared" si="1"/>
        <v>3.4540000000000002</v>
      </c>
      <c r="K20" s="52">
        <f t="shared" si="1"/>
        <v>3.7679999999999998</v>
      </c>
      <c r="L20" s="52">
        <f t="shared" si="1"/>
        <v>4.0819999999999999</v>
      </c>
      <c r="M20" s="52">
        <f t="shared" si="1"/>
        <v>4.3959999999999999</v>
      </c>
      <c r="N20" s="52">
        <f t="shared" si="1"/>
        <v>4.71</v>
      </c>
      <c r="O20" s="52">
        <f t="shared" si="1"/>
        <v>5.024</v>
      </c>
      <c r="P20" s="48">
        <f t="shared" si="1"/>
        <v>5.3380000000000001</v>
      </c>
      <c r="Q20" s="52">
        <f t="shared" si="1"/>
        <v>5.6520000000000001</v>
      </c>
      <c r="R20" s="53">
        <f t="shared" si="1"/>
        <v>6.28</v>
      </c>
    </row>
    <row r="21" spans="2:18" ht="15" customHeight="1">
      <c r="B21" s="14">
        <v>45</v>
      </c>
      <c r="C21" s="52">
        <f t="shared" si="1"/>
        <v>1.7662500000000001</v>
      </c>
      <c r="D21" s="52">
        <f t="shared" si="1"/>
        <v>2.1194999999999999</v>
      </c>
      <c r="E21" s="52">
        <f t="shared" si="1"/>
        <v>2.296125</v>
      </c>
      <c r="F21" s="52">
        <f t="shared" si="1"/>
        <v>2.47275</v>
      </c>
      <c r="G21" s="52">
        <f t="shared" si="1"/>
        <v>2.8260000000000001</v>
      </c>
      <c r="H21" s="48">
        <f t="shared" si="1"/>
        <v>3.1792500000000001</v>
      </c>
      <c r="I21" s="52">
        <f t="shared" si="1"/>
        <v>3.5325000000000002</v>
      </c>
      <c r="J21" s="48">
        <f t="shared" si="1"/>
        <v>3.8857499999999998</v>
      </c>
      <c r="K21" s="52">
        <f t="shared" si="1"/>
        <v>4.2389999999999999</v>
      </c>
      <c r="L21" s="52">
        <f t="shared" si="1"/>
        <v>4.5922499999999999</v>
      </c>
      <c r="M21" s="52">
        <f t="shared" si="1"/>
        <v>4.9455</v>
      </c>
      <c r="N21" s="52">
        <f t="shared" si="1"/>
        <v>5.2987500000000001</v>
      </c>
      <c r="O21" s="52">
        <f t="shared" si="1"/>
        <v>5.6520000000000001</v>
      </c>
      <c r="P21" s="48">
        <f t="shared" si="1"/>
        <v>6.0052500000000002</v>
      </c>
      <c r="Q21" s="48">
        <f t="shared" si="1"/>
        <v>6.3585000000000003</v>
      </c>
      <c r="R21" s="53">
        <f t="shared" si="1"/>
        <v>7.0650000000000004</v>
      </c>
    </row>
    <row r="22" spans="2:18" ht="15" customHeight="1">
      <c r="B22" s="14">
        <v>50</v>
      </c>
      <c r="C22" s="52">
        <f t="shared" si="1"/>
        <v>1.9624999999999999</v>
      </c>
      <c r="D22" s="52">
        <f t="shared" si="1"/>
        <v>2.355</v>
      </c>
      <c r="E22" s="52">
        <f t="shared" si="1"/>
        <v>2.55125</v>
      </c>
      <c r="F22" s="52">
        <f t="shared" si="1"/>
        <v>2.7475000000000001</v>
      </c>
      <c r="G22" s="52">
        <f t="shared" si="1"/>
        <v>3.14</v>
      </c>
      <c r="H22" s="52">
        <f t="shared" si="1"/>
        <v>3.5325000000000002</v>
      </c>
      <c r="I22" s="52">
        <f t="shared" si="1"/>
        <v>3.9249999999999998</v>
      </c>
      <c r="J22" s="48">
        <f t="shared" si="1"/>
        <v>4.3174999999999999</v>
      </c>
      <c r="K22" s="52">
        <f t="shared" si="1"/>
        <v>4.71</v>
      </c>
      <c r="L22" s="52">
        <f t="shared" si="1"/>
        <v>5.1025</v>
      </c>
      <c r="M22" s="52">
        <f t="shared" si="1"/>
        <v>5.4950000000000001</v>
      </c>
      <c r="N22" s="52">
        <f t="shared" si="1"/>
        <v>5.8875000000000002</v>
      </c>
      <c r="O22" s="52">
        <f t="shared" si="1"/>
        <v>6.28</v>
      </c>
      <c r="P22" s="48">
        <f t="shared" si="1"/>
        <v>6.6725000000000003</v>
      </c>
      <c r="Q22" s="52">
        <f t="shared" si="1"/>
        <v>7.0650000000000004</v>
      </c>
      <c r="R22" s="53">
        <f t="shared" si="1"/>
        <v>7.85</v>
      </c>
    </row>
    <row r="23" spans="2:18" ht="15" customHeight="1">
      <c r="B23" s="14">
        <v>55</v>
      </c>
      <c r="C23" s="52">
        <f t="shared" ref="C23:R29" si="2">($B23*C$2*7850)/1000000</f>
        <v>2.1587499999999999</v>
      </c>
      <c r="D23" s="52">
        <f t="shared" si="2"/>
        <v>2.5905</v>
      </c>
      <c r="E23" s="52">
        <f t="shared" si="2"/>
        <v>2.8063750000000001</v>
      </c>
      <c r="F23" s="48">
        <f t="shared" si="2"/>
        <v>3.0222500000000001</v>
      </c>
      <c r="G23" s="52">
        <f t="shared" si="2"/>
        <v>3.4540000000000002</v>
      </c>
      <c r="H23" s="48">
        <f t="shared" si="2"/>
        <v>3.8857499999999998</v>
      </c>
      <c r="I23" s="52">
        <f t="shared" si="2"/>
        <v>4.3174999999999999</v>
      </c>
      <c r="J23" s="48">
        <f t="shared" si="2"/>
        <v>4.74925</v>
      </c>
      <c r="K23" s="52">
        <f t="shared" si="2"/>
        <v>5.181</v>
      </c>
      <c r="L23" s="52">
        <f t="shared" si="2"/>
        <v>5.6127500000000001</v>
      </c>
      <c r="M23" s="52">
        <f t="shared" si="2"/>
        <v>6.0445000000000002</v>
      </c>
      <c r="N23" s="52">
        <f t="shared" si="2"/>
        <v>6.4762500000000003</v>
      </c>
      <c r="O23" s="52">
        <f t="shared" si="2"/>
        <v>6.9080000000000004</v>
      </c>
      <c r="P23" s="48">
        <f t="shared" si="2"/>
        <v>7.3397500000000004</v>
      </c>
      <c r="Q23" s="52">
        <f t="shared" si="2"/>
        <v>7.7714999999999996</v>
      </c>
      <c r="R23" s="53">
        <f t="shared" si="2"/>
        <v>8.6349999999999998</v>
      </c>
    </row>
    <row r="24" spans="2:18" ht="15" customHeight="1">
      <c r="B24" s="14">
        <v>60</v>
      </c>
      <c r="C24" s="52">
        <f t="shared" si="2"/>
        <v>2.355</v>
      </c>
      <c r="D24" s="52">
        <f t="shared" si="2"/>
        <v>2.8260000000000001</v>
      </c>
      <c r="E24" s="52">
        <f t="shared" si="2"/>
        <v>3.0615000000000001</v>
      </c>
      <c r="F24" s="52">
        <f t="shared" si="2"/>
        <v>3.2970000000000002</v>
      </c>
      <c r="G24" s="52">
        <f t="shared" si="2"/>
        <v>3.7679999999999998</v>
      </c>
      <c r="H24" s="52">
        <f t="shared" si="2"/>
        <v>4.2389999999999999</v>
      </c>
      <c r="I24" s="52">
        <f t="shared" si="2"/>
        <v>4.71</v>
      </c>
      <c r="J24" s="48">
        <f t="shared" si="2"/>
        <v>5.181</v>
      </c>
      <c r="K24" s="52">
        <f t="shared" si="2"/>
        <v>5.6520000000000001</v>
      </c>
      <c r="L24" s="52">
        <f t="shared" si="2"/>
        <v>6.1230000000000002</v>
      </c>
      <c r="M24" s="48">
        <f t="shared" si="2"/>
        <v>6.5940000000000003</v>
      </c>
      <c r="N24" s="52">
        <f t="shared" si="2"/>
        <v>7.0650000000000004</v>
      </c>
      <c r="O24" s="52">
        <f t="shared" si="2"/>
        <v>7.5359999999999996</v>
      </c>
      <c r="P24" s="48">
        <f t="shared" si="2"/>
        <v>8.0069999999999997</v>
      </c>
      <c r="Q24" s="52">
        <f t="shared" si="2"/>
        <v>8.4779999999999998</v>
      </c>
      <c r="R24" s="53">
        <f t="shared" si="2"/>
        <v>9.42</v>
      </c>
    </row>
    <row r="25" spans="2:18" ht="15" customHeight="1">
      <c r="B25" s="14">
        <v>65</v>
      </c>
      <c r="C25" s="52">
        <f t="shared" si="2"/>
        <v>2.55125</v>
      </c>
      <c r="D25" s="52">
        <f t="shared" si="2"/>
        <v>3.0615000000000001</v>
      </c>
      <c r="E25" s="52">
        <f t="shared" si="2"/>
        <v>3.3166250000000002</v>
      </c>
      <c r="F25" s="48">
        <f t="shared" si="2"/>
        <v>3.5717500000000002</v>
      </c>
      <c r="G25" s="52">
        <f t="shared" si="2"/>
        <v>4.0819999999999999</v>
      </c>
      <c r="H25" s="52">
        <f t="shared" si="2"/>
        <v>4.5922499999999999</v>
      </c>
      <c r="I25" s="52">
        <f t="shared" si="2"/>
        <v>5.1025</v>
      </c>
      <c r="J25" s="48">
        <f t="shared" si="2"/>
        <v>5.6127500000000001</v>
      </c>
      <c r="K25" s="52">
        <f t="shared" si="2"/>
        <v>6.1230000000000002</v>
      </c>
      <c r="L25" s="52">
        <f t="shared" si="2"/>
        <v>6.6332500000000003</v>
      </c>
      <c r="M25" s="48">
        <f t="shared" si="2"/>
        <v>7.1435000000000004</v>
      </c>
      <c r="N25" s="52">
        <f t="shared" si="2"/>
        <v>7.6537499999999996</v>
      </c>
      <c r="O25" s="52">
        <f t="shared" si="2"/>
        <v>8.1639999999999997</v>
      </c>
      <c r="P25" s="48">
        <f t="shared" si="2"/>
        <v>8.6742500000000007</v>
      </c>
      <c r="Q25" s="48">
        <f t="shared" si="2"/>
        <v>9.1844999999999999</v>
      </c>
      <c r="R25" s="53">
        <f t="shared" si="2"/>
        <v>10.205</v>
      </c>
    </row>
    <row r="26" spans="2:18" ht="15" customHeight="1">
      <c r="B26" s="14">
        <v>70</v>
      </c>
      <c r="C26" s="52">
        <f t="shared" si="2"/>
        <v>2.7475000000000001</v>
      </c>
      <c r="D26" s="52">
        <f t="shared" si="2"/>
        <v>3.2970000000000002</v>
      </c>
      <c r="E26" s="52">
        <f t="shared" si="2"/>
        <v>3.5717500000000002</v>
      </c>
      <c r="F26" s="52">
        <f t="shared" si="2"/>
        <v>3.8464999999999998</v>
      </c>
      <c r="G26" s="52">
        <f t="shared" si="2"/>
        <v>4.3959999999999999</v>
      </c>
      <c r="H26" s="48">
        <f t="shared" si="2"/>
        <v>4.9455</v>
      </c>
      <c r="I26" s="52">
        <f t="shared" si="2"/>
        <v>5.4950000000000001</v>
      </c>
      <c r="J26" s="48">
        <f t="shared" si="2"/>
        <v>6.0445000000000002</v>
      </c>
      <c r="K26" s="52">
        <f t="shared" si="2"/>
        <v>6.5940000000000003</v>
      </c>
      <c r="L26" s="52">
        <f t="shared" si="2"/>
        <v>7.1435000000000004</v>
      </c>
      <c r="M26" s="48">
        <f t="shared" si="2"/>
        <v>7.6929999999999996</v>
      </c>
      <c r="N26" s="52">
        <f t="shared" si="2"/>
        <v>8.2424999999999997</v>
      </c>
      <c r="O26" s="52">
        <f t="shared" si="2"/>
        <v>8.7919999999999998</v>
      </c>
      <c r="P26" s="48">
        <f t="shared" si="2"/>
        <v>9.3414999999999999</v>
      </c>
      <c r="Q26" s="52">
        <f t="shared" si="2"/>
        <v>9.891</v>
      </c>
      <c r="R26" s="53">
        <f t="shared" si="2"/>
        <v>10.99</v>
      </c>
    </row>
    <row r="27" spans="2:18" ht="15" customHeight="1">
      <c r="B27" s="14">
        <v>75</v>
      </c>
      <c r="C27" s="52">
        <f t="shared" si="2"/>
        <v>2.9437500000000001</v>
      </c>
      <c r="D27" s="52">
        <f t="shared" si="2"/>
        <v>3.5325000000000002</v>
      </c>
      <c r="E27" s="52">
        <f t="shared" si="2"/>
        <v>3.8268749999999998</v>
      </c>
      <c r="F27" s="48">
        <f t="shared" si="2"/>
        <v>4.1212499999999999</v>
      </c>
      <c r="G27" s="52">
        <f t="shared" si="2"/>
        <v>4.71</v>
      </c>
      <c r="H27" s="48">
        <f t="shared" si="2"/>
        <v>5.2987500000000001</v>
      </c>
      <c r="I27" s="52">
        <f t="shared" si="2"/>
        <v>5.8875000000000002</v>
      </c>
      <c r="J27" s="48">
        <f t="shared" si="2"/>
        <v>6.4762500000000003</v>
      </c>
      <c r="K27" s="52">
        <f t="shared" si="2"/>
        <v>7.0650000000000004</v>
      </c>
      <c r="L27" s="52">
        <f t="shared" si="2"/>
        <v>7.6537499999999996</v>
      </c>
      <c r="M27" s="48">
        <f t="shared" si="2"/>
        <v>8.2424999999999997</v>
      </c>
      <c r="N27" s="52">
        <f t="shared" si="2"/>
        <v>8.8312500000000007</v>
      </c>
      <c r="O27" s="52">
        <f t="shared" si="2"/>
        <v>9.42</v>
      </c>
      <c r="P27" s="48">
        <f t="shared" si="2"/>
        <v>10.008749999999999</v>
      </c>
      <c r="Q27" s="48">
        <f t="shared" si="2"/>
        <v>10.5975</v>
      </c>
      <c r="R27" s="53">
        <f t="shared" si="2"/>
        <v>11.775</v>
      </c>
    </row>
    <row r="28" spans="2:18" ht="15" customHeight="1">
      <c r="B28" s="14">
        <v>80</v>
      </c>
      <c r="C28" s="52">
        <f t="shared" si="2"/>
        <v>3.14</v>
      </c>
      <c r="D28" s="52">
        <f t="shared" si="2"/>
        <v>3.7679999999999998</v>
      </c>
      <c r="E28" s="52">
        <f t="shared" si="2"/>
        <v>4.0819999999999999</v>
      </c>
      <c r="F28" s="52">
        <f t="shared" si="2"/>
        <v>4.3959999999999999</v>
      </c>
      <c r="G28" s="52">
        <f t="shared" si="2"/>
        <v>5.024</v>
      </c>
      <c r="H28" s="48">
        <f t="shared" si="2"/>
        <v>5.6520000000000001</v>
      </c>
      <c r="I28" s="52">
        <f t="shared" si="2"/>
        <v>6.28</v>
      </c>
      <c r="J28" s="52">
        <f t="shared" si="2"/>
        <v>6.9080000000000004</v>
      </c>
      <c r="K28" s="52">
        <f t="shared" si="2"/>
        <v>7.5359999999999996</v>
      </c>
      <c r="L28" s="52">
        <f t="shared" si="2"/>
        <v>8.1639999999999997</v>
      </c>
      <c r="M28" s="48">
        <f t="shared" si="2"/>
        <v>8.7919999999999998</v>
      </c>
      <c r="N28" s="52">
        <f t="shared" si="2"/>
        <v>9.42</v>
      </c>
      <c r="O28" s="52">
        <f t="shared" si="2"/>
        <v>10.048</v>
      </c>
      <c r="P28" s="48">
        <f t="shared" si="2"/>
        <v>10.676</v>
      </c>
      <c r="Q28" s="48">
        <f t="shared" si="2"/>
        <v>11.304</v>
      </c>
      <c r="R28" s="53">
        <f t="shared" si="2"/>
        <v>12.56</v>
      </c>
    </row>
    <row r="29" spans="2:18" ht="15" customHeight="1">
      <c r="B29" s="14">
        <v>90</v>
      </c>
      <c r="C29" s="52">
        <f t="shared" si="2"/>
        <v>3.5325000000000002</v>
      </c>
      <c r="D29" s="52">
        <f t="shared" si="2"/>
        <v>4.2389999999999999</v>
      </c>
      <c r="E29" s="52">
        <f t="shared" si="2"/>
        <v>4.5922499999999999</v>
      </c>
      <c r="F29" s="48">
        <f t="shared" si="2"/>
        <v>4.9455</v>
      </c>
      <c r="G29" s="52">
        <f t="shared" si="2"/>
        <v>5.6520000000000001</v>
      </c>
      <c r="H29" s="52">
        <f t="shared" si="2"/>
        <v>6.3585000000000003</v>
      </c>
      <c r="I29" s="52">
        <f t="shared" si="2"/>
        <v>7.0650000000000004</v>
      </c>
      <c r="J29" s="52">
        <f t="shared" si="2"/>
        <v>7.7714999999999996</v>
      </c>
      <c r="K29" s="52">
        <f t="shared" si="2"/>
        <v>8.4779999999999998</v>
      </c>
      <c r="L29" s="52">
        <f t="shared" si="2"/>
        <v>9.1844999999999999</v>
      </c>
      <c r="M29" s="48">
        <f t="shared" si="2"/>
        <v>9.891</v>
      </c>
      <c r="N29" s="52">
        <f t="shared" si="2"/>
        <v>10.5975</v>
      </c>
      <c r="O29" s="52">
        <f t="shared" si="2"/>
        <v>11.304</v>
      </c>
      <c r="P29" s="48">
        <f t="shared" si="2"/>
        <v>12.0105</v>
      </c>
      <c r="Q29" s="52">
        <f t="shared" si="2"/>
        <v>12.717000000000001</v>
      </c>
      <c r="R29" s="53">
        <f t="shared" si="2"/>
        <v>14.13</v>
      </c>
    </row>
    <row r="30" spans="2:18" ht="15" customHeight="1">
      <c r="B30" s="14">
        <v>100</v>
      </c>
      <c r="C30" s="52">
        <f t="shared" ref="C30:N30" si="3">($B30*C$2*7850)/1000000</f>
        <v>3.9249999999999998</v>
      </c>
      <c r="D30" s="52">
        <f t="shared" si="3"/>
        <v>4.71</v>
      </c>
      <c r="E30" s="52">
        <f t="shared" si="3"/>
        <v>5.1025</v>
      </c>
      <c r="F30" s="48">
        <f t="shared" si="3"/>
        <v>5.4950000000000001</v>
      </c>
      <c r="G30" s="52">
        <f t="shared" si="3"/>
        <v>6.28</v>
      </c>
      <c r="H30" s="48">
        <f t="shared" si="3"/>
        <v>7.0650000000000004</v>
      </c>
      <c r="I30" s="52">
        <f t="shared" si="3"/>
        <v>7.85</v>
      </c>
      <c r="J30" s="52">
        <f t="shared" si="3"/>
        <v>8.6349999999999998</v>
      </c>
      <c r="K30" s="52">
        <f t="shared" si="3"/>
        <v>9.42</v>
      </c>
      <c r="L30" s="52">
        <f t="shared" si="3"/>
        <v>10.205</v>
      </c>
      <c r="M30" s="52">
        <f t="shared" si="3"/>
        <v>10.99</v>
      </c>
      <c r="N30" s="52">
        <f t="shared" si="3"/>
        <v>11.775</v>
      </c>
      <c r="O30" s="52">
        <f t="shared" ref="E30:R35" si="4">($B30*O$2*7850)/1000000</f>
        <v>12.56</v>
      </c>
      <c r="P30" s="48">
        <f t="shared" si="4"/>
        <v>13.345000000000001</v>
      </c>
      <c r="Q30" s="48">
        <f t="shared" si="4"/>
        <v>14.13</v>
      </c>
      <c r="R30" s="53">
        <f t="shared" si="4"/>
        <v>15.7</v>
      </c>
    </row>
    <row r="31" spans="2:18" ht="15" customHeight="1">
      <c r="B31" s="14">
        <v>110</v>
      </c>
      <c r="C31" s="48">
        <f t="shared" ref="C31:D35" si="5">($B31*C$2*7850)/1000000</f>
        <v>4.3174999999999999</v>
      </c>
      <c r="D31" s="48">
        <f t="shared" si="5"/>
        <v>5.181</v>
      </c>
      <c r="E31" s="48">
        <f t="shared" si="4"/>
        <v>5.6127500000000001</v>
      </c>
      <c r="F31" s="48">
        <f t="shared" si="4"/>
        <v>6.0445000000000002</v>
      </c>
      <c r="G31" s="52">
        <f t="shared" si="4"/>
        <v>6.9080000000000004</v>
      </c>
      <c r="H31" s="52">
        <f t="shared" si="4"/>
        <v>7.7714999999999996</v>
      </c>
      <c r="I31" s="52">
        <f t="shared" si="4"/>
        <v>8.6349999999999998</v>
      </c>
      <c r="J31" s="52">
        <f t="shared" si="4"/>
        <v>9.4984999999999999</v>
      </c>
      <c r="K31" s="52">
        <f t="shared" si="4"/>
        <v>10.362</v>
      </c>
      <c r="L31" s="52">
        <f t="shared" si="4"/>
        <v>11.2255</v>
      </c>
      <c r="M31" s="52">
        <f t="shared" si="4"/>
        <v>12.089</v>
      </c>
      <c r="N31" s="52">
        <f t="shared" si="4"/>
        <v>12.952500000000001</v>
      </c>
      <c r="O31" s="52">
        <f t="shared" si="4"/>
        <v>13.816000000000001</v>
      </c>
      <c r="P31" s="48">
        <f t="shared" si="4"/>
        <v>14.679500000000001</v>
      </c>
      <c r="Q31" s="48">
        <f t="shared" si="4"/>
        <v>15.542999999999999</v>
      </c>
      <c r="R31" s="53">
        <f t="shared" si="4"/>
        <v>17.27</v>
      </c>
    </row>
    <row r="32" spans="2:18" ht="15" customHeight="1">
      <c r="B32" s="14">
        <v>120</v>
      </c>
      <c r="C32" s="48">
        <f t="shared" si="5"/>
        <v>4.71</v>
      </c>
      <c r="D32" s="48">
        <f t="shared" si="5"/>
        <v>5.6520000000000001</v>
      </c>
      <c r="E32" s="48">
        <f t="shared" si="4"/>
        <v>6.1230000000000002</v>
      </c>
      <c r="F32" s="48">
        <f t="shared" si="4"/>
        <v>6.5940000000000003</v>
      </c>
      <c r="G32" s="52">
        <f t="shared" si="4"/>
        <v>7.5359999999999996</v>
      </c>
      <c r="H32" s="52">
        <f t="shared" si="4"/>
        <v>8.4779999999999998</v>
      </c>
      <c r="I32" s="52">
        <f t="shared" si="4"/>
        <v>9.42</v>
      </c>
      <c r="J32" s="52">
        <f t="shared" si="4"/>
        <v>10.362</v>
      </c>
      <c r="K32" s="52">
        <f t="shared" si="4"/>
        <v>11.304</v>
      </c>
      <c r="L32" s="52">
        <f t="shared" si="4"/>
        <v>12.246</v>
      </c>
      <c r="M32" s="48">
        <f t="shared" si="4"/>
        <v>13.188000000000001</v>
      </c>
      <c r="N32" s="52">
        <f t="shared" si="4"/>
        <v>14.13</v>
      </c>
      <c r="O32" s="52">
        <f t="shared" si="4"/>
        <v>15.071999999999999</v>
      </c>
      <c r="P32" s="48">
        <f t="shared" si="4"/>
        <v>16.013999999999999</v>
      </c>
      <c r="Q32" s="48">
        <f t="shared" si="4"/>
        <v>16.956</v>
      </c>
      <c r="R32" s="53">
        <f t="shared" si="4"/>
        <v>18.84</v>
      </c>
    </row>
    <row r="33" spans="2:18" ht="15" customHeight="1">
      <c r="B33" s="14">
        <v>130</v>
      </c>
      <c r="C33" s="48">
        <f t="shared" si="5"/>
        <v>5.1025</v>
      </c>
      <c r="D33" s="48">
        <f t="shared" si="5"/>
        <v>6.1230000000000002</v>
      </c>
      <c r="E33" s="48">
        <f t="shared" si="4"/>
        <v>6.6332500000000003</v>
      </c>
      <c r="F33" s="48">
        <f t="shared" si="4"/>
        <v>7.1435000000000004</v>
      </c>
      <c r="G33" s="52">
        <f t="shared" si="4"/>
        <v>8.1639999999999997</v>
      </c>
      <c r="H33" s="48">
        <f t="shared" si="4"/>
        <v>9.1844999999999999</v>
      </c>
      <c r="I33" s="52">
        <f t="shared" si="4"/>
        <v>10.205</v>
      </c>
      <c r="J33" s="52">
        <f t="shared" si="4"/>
        <v>11.2255</v>
      </c>
      <c r="K33" s="52">
        <f t="shared" si="4"/>
        <v>12.246</v>
      </c>
      <c r="L33" s="52">
        <f t="shared" si="4"/>
        <v>13.266500000000001</v>
      </c>
      <c r="M33" s="52">
        <f t="shared" si="4"/>
        <v>14.287000000000001</v>
      </c>
      <c r="N33" s="52">
        <f t="shared" si="4"/>
        <v>15.307499999999999</v>
      </c>
      <c r="O33" s="52">
        <f t="shared" si="4"/>
        <v>16.327999999999999</v>
      </c>
      <c r="P33" s="48">
        <f t="shared" si="4"/>
        <v>17.348500000000001</v>
      </c>
      <c r="Q33" s="48">
        <f t="shared" si="4"/>
        <v>18.369</v>
      </c>
      <c r="R33" s="53">
        <f t="shared" si="4"/>
        <v>20.41</v>
      </c>
    </row>
    <row r="34" spans="2:18" ht="15" customHeight="1">
      <c r="B34" s="14">
        <v>140</v>
      </c>
      <c r="C34" s="48">
        <f t="shared" si="5"/>
        <v>5.4950000000000001</v>
      </c>
      <c r="D34" s="48">
        <f t="shared" si="5"/>
        <v>6.5940000000000003</v>
      </c>
      <c r="E34" s="48">
        <f t="shared" si="4"/>
        <v>7.1435000000000004</v>
      </c>
      <c r="F34" s="48">
        <f t="shared" si="4"/>
        <v>7.6929999999999996</v>
      </c>
      <c r="G34" s="52">
        <f t="shared" si="4"/>
        <v>8.7919999999999998</v>
      </c>
      <c r="H34" s="48">
        <f t="shared" si="4"/>
        <v>9.891</v>
      </c>
      <c r="I34" s="52">
        <f t="shared" si="4"/>
        <v>10.99</v>
      </c>
      <c r="J34" s="48">
        <f t="shared" si="4"/>
        <v>12.089</v>
      </c>
      <c r="K34" s="52">
        <f t="shared" si="4"/>
        <v>13.188000000000001</v>
      </c>
      <c r="L34" s="48">
        <f t="shared" si="4"/>
        <v>14.287000000000001</v>
      </c>
      <c r="M34" s="48">
        <f t="shared" si="4"/>
        <v>15.385999999999999</v>
      </c>
      <c r="N34" s="52">
        <f t="shared" si="4"/>
        <v>16.484999999999999</v>
      </c>
      <c r="O34" s="52">
        <f t="shared" si="4"/>
        <v>17.584</v>
      </c>
      <c r="P34" s="48">
        <f t="shared" si="4"/>
        <v>18.683</v>
      </c>
      <c r="Q34" s="48">
        <f t="shared" si="4"/>
        <v>19.782</v>
      </c>
      <c r="R34" s="53">
        <f t="shared" si="4"/>
        <v>21.98</v>
      </c>
    </row>
    <row r="35" spans="2:18" ht="15" customHeight="1" thickBot="1">
      <c r="B35" s="58">
        <v>150</v>
      </c>
      <c r="C35" s="49">
        <f t="shared" si="5"/>
        <v>5.8875000000000002</v>
      </c>
      <c r="D35" s="49">
        <f t="shared" si="5"/>
        <v>7.0650000000000004</v>
      </c>
      <c r="E35" s="49">
        <f t="shared" si="4"/>
        <v>7.6537499999999996</v>
      </c>
      <c r="F35" s="49">
        <f t="shared" si="4"/>
        <v>8.2424999999999997</v>
      </c>
      <c r="G35" s="54">
        <f t="shared" si="4"/>
        <v>9.42</v>
      </c>
      <c r="H35" s="49">
        <f t="shared" si="4"/>
        <v>10.5975</v>
      </c>
      <c r="I35" s="54">
        <f t="shared" si="4"/>
        <v>11.775</v>
      </c>
      <c r="J35" s="54">
        <f t="shared" si="4"/>
        <v>12.952500000000001</v>
      </c>
      <c r="K35" s="54">
        <f t="shared" si="4"/>
        <v>14.13</v>
      </c>
      <c r="L35" s="54">
        <f t="shared" si="4"/>
        <v>15.307499999999999</v>
      </c>
      <c r="M35" s="54">
        <f t="shared" si="4"/>
        <v>16.484999999999999</v>
      </c>
      <c r="N35" s="54">
        <f t="shared" si="4"/>
        <v>17.662500000000001</v>
      </c>
      <c r="O35" s="54">
        <f t="shared" si="4"/>
        <v>18.84</v>
      </c>
      <c r="P35" s="49">
        <f t="shared" si="4"/>
        <v>20.017499999999998</v>
      </c>
      <c r="Q35" s="49">
        <f t="shared" si="4"/>
        <v>21.195</v>
      </c>
      <c r="R35" s="64">
        <f t="shared" si="4"/>
        <v>23.55</v>
      </c>
    </row>
    <row r="36" spans="2:18" ht="15" customHeight="1" thickTop="1"/>
    <row r="37" spans="2:18" ht="15" customHeight="1"/>
    <row r="38" spans="2:18" ht="15" customHeight="1"/>
  </sheetData>
  <customSheetViews>
    <customSheetView guid="{C0BE45DA-73C0-4B1E-ABFB-A0FAB57D4E46}" showGridLines="0" showRuler="0">
      <pane xSplit="1" ySplit="3" topLeftCell="B4" activePane="bottomRight" state="frozen"/>
      <selection pane="bottomRight" activeCell="B3" sqref="B3"/>
      <pageMargins left="0.75" right="0.75" top="1" bottom="1" header="0.5" footer="0.5"/>
      <pageSetup paperSize="9" orientation="portrait" horizontalDpi="4294967293" verticalDpi="0" r:id="rId1"/>
      <headerFooter alignWithMargins="0"/>
    </customSheetView>
  </customSheetViews>
  <mergeCells count="1">
    <mergeCell ref="B1:R1"/>
  </mergeCells>
  <phoneticPr fontId="2" type="noConversion"/>
  <pageMargins left="0.94488188976377963" right="0.35433070866141736" top="0.98425196850393704" bottom="0.39370078740157483" header="0.51181102362204722" footer="0.51181102362204722"/>
  <pageSetup paperSize="9" scale="76" orientation="portrait" horizontalDpi="4294967293" verticalDpi="0"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0"/>
  </sheetPr>
  <dimension ref="B1:Z31"/>
  <sheetViews>
    <sheetView showGridLines="0" workbookViewId="0">
      <pane xSplit="1" ySplit="2" topLeftCell="B3" activePane="bottomRight" state="frozen"/>
      <selection pane="topRight" activeCell="B1" sqref="B1"/>
      <selection pane="bottomLeft" activeCell="A4" sqref="A4"/>
      <selection pane="bottomRight" activeCell="B1" sqref="B1:Q1"/>
    </sheetView>
  </sheetViews>
  <sheetFormatPr defaultRowHeight="13.2"/>
  <cols>
    <col min="1" max="1" width="2.6640625" customWidth="1"/>
    <col min="2" max="2" width="8.6640625" customWidth="1"/>
    <col min="3" max="26" width="6.6640625" customWidth="1"/>
  </cols>
  <sheetData>
    <row r="1" spans="2:26" ht="20.100000000000001" customHeight="1" thickBot="1">
      <c r="B1" s="509" t="s">
        <v>49</v>
      </c>
      <c r="C1" s="509"/>
      <c r="D1" s="509"/>
      <c r="E1" s="509"/>
      <c r="F1" s="509"/>
      <c r="G1" s="509"/>
      <c r="H1" s="509"/>
      <c r="I1" s="509"/>
      <c r="J1" s="509"/>
      <c r="K1" s="509"/>
      <c r="L1" s="509"/>
      <c r="M1" s="509"/>
      <c r="N1" s="509"/>
      <c r="O1" s="509"/>
      <c r="P1" s="509"/>
      <c r="Q1" s="509"/>
      <c r="R1" s="47"/>
    </row>
    <row r="2" spans="2:26" ht="30" customHeight="1" thickTop="1">
      <c r="B2" s="56" t="s">
        <v>48</v>
      </c>
      <c r="C2" s="59">
        <v>5</v>
      </c>
      <c r="D2" s="59">
        <v>6</v>
      </c>
      <c r="E2" s="59">
        <v>6.5</v>
      </c>
      <c r="F2" s="59">
        <v>7</v>
      </c>
      <c r="G2" s="59">
        <v>8</v>
      </c>
      <c r="H2" s="59">
        <v>9</v>
      </c>
      <c r="I2" s="59">
        <v>10</v>
      </c>
      <c r="J2" s="59">
        <v>11</v>
      </c>
      <c r="K2" s="59">
        <v>12</v>
      </c>
      <c r="L2" s="59">
        <v>13</v>
      </c>
      <c r="M2" s="59">
        <v>14</v>
      </c>
      <c r="N2" s="59">
        <v>15</v>
      </c>
      <c r="O2" s="59">
        <v>16</v>
      </c>
      <c r="P2" s="59">
        <v>17</v>
      </c>
      <c r="Q2" s="59">
        <v>20</v>
      </c>
      <c r="R2" s="59">
        <v>22</v>
      </c>
      <c r="S2" s="60">
        <v>24</v>
      </c>
      <c r="T2" s="60">
        <v>27</v>
      </c>
      <c r="U2" s="60">
        <v>30</v>
      </c>
      <c r="V2" s="60">
        <v>32</v>
      </c>
      <c r="W2" s="60">
        <v>34</v>
      </c>
      <c r="X2" s="60">
        <v>42</v>
      </c>
      <c r="Y2" s="60">
        <v>48</v>
      </c>
      <c r="Z2" s="61">
        <v>53</v>
      </c>
    </row>
    <row r="3" spans="2:26" ht="15" customHeight="1">
      <c r="B3" s="57">
        <v>21.5</v>
      </c>
      <c r="C3" s="48">
        <f t="shared" ref="C3:S18" si="0">($B3*C$2*7850)/1000000</f>
        <v>0.84387500000000004</v>
      </c>
      <c r="D3" s="48">
        <f t="shared" si="0"/>
        <v>1.0126500000000001</v>
      </c>
      <c r="E3" s="48">
        <f t="shared" si="0"/>
        <v>1.0970375000000001</v>
      </c>
      <c r="F3" s="52">
        <f t="shared" si="0"/>
        <v>1.1814249999999999</v>
      </c>
      <c r="G3" s="48">
        <f t="shared" si="0"/>
        <v>1.3502000000000001</v>
      </c>
      <c r="H3" s="48">
        <f t="shared" si="0"/>
        <v>1.518975</v>
      </c>
      <c r="I3" s="52">
        <f t="shared" si="0"/>
        <v>1.6877500000000001</v>
      </c>
      <c r="J3" s="52">
        <f t="shared" si="0"/>
        <v>1.856525</v>
      </c>
      <c r="K3" s="52">
        <f t="shared" si="0"/>
        <v>2.0253000000000001</v>
      </c>
      <c r="L3" s="52">
        <f t="shared" si="0"/>
        <v>2.1940750000000002</v>
      </c>
      <c r="M3" s="52">
        <f t="shared" si="0"/>
        <v>2.3628499999999999</v>
      </c>
      <c r="N3" s="48">
        <f t="shared" si="0"/>
        <v>2.531625</v>
      </c>
      <c r="O3" s="48">
        <f t="shared" si="0"/>
        <v>2.7004000000000001</v>
      </c>
      <c r="P3" s="48">
        <f t="shared" si="0"/>
        <v>2.8691749999999998</v>
      </c>
      <c r="Q3" s="48">
        <f t="shared" si="0"/>
        <v>3.3755000000000002</v>
      </c>
      <c r="R3" s="48">
        <f t="shared" si="0"/>
        <v>3.71305</v>
      </c>
      <c r="S3" s="48">
        <f t="shared" si="0"/>
        <v>4.0506000000000002</v>
      </c>
      <c r="T3" s="48">
        <f t="shared" ref="T3:Z18" si="1">($B3*T$2*7850)/1000000</f>
        <v>4.5569249999999997</v>
      </c>
      <c r="U3" s="48">
        <f t="shared" si="1"/>
        <v>5.06325</v>
      </c>
      <c r="V3" s="48">
        <f t="shared" si="1"/>
        <v>5.4008000000000003</v>
      </c>
      <c r="W3" s="48">
        <f t="shared" si="1"/>
        <v>5.7383499999999996</v>
      </c>
      <c r="X3" s="48">
        <f t="shared" si="1"/>
        <v>7.0885499999999997</v>
      </c>
      <c r="Y3" s="48">
        <f t="shared" si="1"/>
        <v>8.1012000000000004</v>
      </c>
      <c r="Z3" s="50">
        <f t="shared" si="1"/>
        <v>8.9450749999999992</v>
      </c>
    </row>
    <row r="4" spans="2:26" ht="15" customHeight="1">
      <c r="B4" s="14">
        <v>23.5</v>
      </c>
      <c r="C4" s="48">
        <f t="shared" si="0"/>
        <v>0.92237499999999994</v>
      </c>
      <c r="D4" s="48">
        <f t="shared" si="0"/>
        <v>1.1068499999999999</v>
      </c>
      <c r="E4" s="48">
        <f t="shared" si="0"/>
        <v>1.1990875000000001</v>
      </c>
      <c r="F4" s="48">
        <f t="shared" si="0"/>
        <v>1.2913250000000001</v>
      </c>
      <c r="G4" s="48">
        <f t="shared" si="0"/>
        <v>1.4758</v>
      </c>
      <c r="H4" s="48">
        <f t="shared" si="0"/>
        <v>1.6602749999999999</v>
      </c>
      <c r="I4" s="52">
        <f t="shared" si="0"/>
        <v>1.8447499999999999</v>
      </c>
      <c r="J4" s="48">
        <f t="shared" si="0"/>
        <v>2.0292249999999998</v>
      </c>
      <c r="K4" s="52">
        <f t="shared" si="0"/>
        <v>2.2136999999999998</v>
      </c>
      <c r="L4" s="52">
        <f t="shared" si="0"/>
        <v>2.3981750000000002</v>
      </c>
      <c r="M4" s="48">
        <f t="shared" si="0"/>
        <v>2.5826500000000001</v>
      </c>
      <c r="N4" s="52">
        <f t="shared" si="0"/>
        <v>2.7671250000000001</v>
      </c>
      <c r="O4" s="48">
        <f t="shared" si="0"/>
        <v>2.9516</v>
      </c>
      <c r="P4" s="48">
        <f t="shared" si="0"/>
        <v>3.1360749999999999</v>
      </c>
      <c r="Q4" s="48">
        <f t="shared" si="0"/>
        <v>3.6894999999999998</v>
      </c>
      <c r="R4" s="48">
        <f t="shared" si="0"/>
        <v>4.0584499999999997</v>
      </c>
      <c r="S4" s="48">
        <f t="shared" si="0"/>
        <v>4.4273999999999996</v>
      </c>
      <c r="T4" s="48">
        <f t="shared" si="1"/>
        <v>4.9808250000000003</v>
      </c>
      <c r="U4" s="48">
        <f t="shared" si="1"/>
        <v>5.5342500000000001</v>
      </c>
      <c r="V4" s="48">
        <f t="shared" si="1"/>
        <v>5.9032</v>
      </c>
      <c r="W4" s="48">
        <f t="shared" si="1"/>
        <v>6.2721499999999999</v>
      </c>
      <c r="X4" s="48">
        <f t="shared" si="1"/>
        <v>7.7479500000000003</v>
      </c>
      <c r="Y4" s="48">
        <f t="shared" si="1"/>
        <v>8.8547999999999991</v>
      </c>
      <c r="Z4" s="50">
        <f t="shared" si="1"/>
        <v>9.7771749999999997</v>
      </c>
    </row>
    <row r="5" spans="2:26" ht="15" customHeight="1">
      <c r="B5" s="14">
        <v>26.5</v>
      </c>
      <c r="C5" s="48">
        <f t="shared" si="0"/>
        <v>1.040125</v>
      </c>
      <c r="D5" s="48">
        <f t="shared" si="0"/>
        <v>1.2481500000000001</v>
      </c>
      <c r="E5" s="48">
        <f t="shared" si="0"/>
        <v>1.3521624999999999</v>
      </c>
      <c r="F5" s="48">
        <f t="shared" si="0"/>
        <v>1.456175</v>
      </c>
      <c r="G5" s="48">
        <f t="shared" si="0"/>
        <v>1.6641999999999999</v>
      </c>
      <c r="H5" s="52">
        <f t="shared" si="0"/>
        <v>1.872225</v>
      </c>
      <c r="I5" s="48">
        <f t="shared" si="0"/>
        <v>2.0802499999999999</v>
      </c>
      <c r="J5" s="52">
        <f t="shared" si="0"/>
        <v>2.2882750000000001</v>
      </c>
      <c r="K5" s="48">
        <f t="shared" si="0"/>
        <v>2.4963000000000002</v>
      </c>
      <c r="L5" s="48">
        <f t="shared" si="0"/>
        <v>2.7043249999999999</v>
      </c>
      <c r="M5" s="52">
        <f t="shared" si="0"/>
        <v>2.91235</v>
      </c>
      <c r="N5" s="48">
        <f t="shared" si="0"/>
        <v>3.1203750000000001</v>
      </c>
      <c r="O5" s="52">
        <f t="shared" si="0"/>
        <v>3.3283999999999998</v>
      </c>
      <c r="P5" s="48">
        <f t="shared" si="0"/>
        <v>3.5364249999999999</v>
      </c>
      <c r="Q5" s="48">
        <f t="shared" si="0"/>
        <v>4.1604999999999999</v>
      </c>
      <c r="R5" s="52">
        <f t="shared" si="0"/>
        <v>4.5765500000000001</v>
      </c>
      <c r="S5" s="48">
        <f t="shared" si="0"/>
        <v>4.9926000000000004</v>
      </c>
      <c r="T5" s="48">
        <f t="shared" si="1"/>
        <v>5.6166749999999999</v>
      </c>
      <c r="U5" s="48">
        <f t="shared" si="1"/>
        <v>6.2407500000000002</v>
      </c>
      <c r="V5" s="48">
        <f t="shared" si="1"/>
        <v>6.6567999999999996</v>
      </c>
      <c r="W5" s="48">
        <f t="shared" si="1"/>
        <v>7.0728499999999999</v>
      </c>
      <c r="X5" s="48">
        <f t="shared" si="1"/>
        <v>8.73705</v>
      </c>
      <c r="Y5" s="48">
        <f t="shared" si="1"/>
        <v>9.9852000000000007</v>
      </c>
      <c r="Z5" s="50">
        <f t="shared" si="1"/>
        <v>11.025325</v>
      </c>
    </row>
    <row r="6" spans="2:26" ht="15" customHeight="1">
      <c r="B6" s="14">
        <v>31.5</v>
      </c>
      <c r="C6" s="52">
        <f t="shared" si="0"/>
        <v>1.236375</v>
      </c>
      <c r="D6" s="52">
        <f t="shared" si="0"/>
        <v>1.4836499999999999</v>
      </c>
      <c r="E6" s="48">
        <f t="shared" si="0"/>
        <v>1.6072875</v>
      </c>
      <c r="F6" s="52">
        <f t="shared" si="0"/>
        <v>1.730925</v>
      </c>
      <c r="G6" s="48">
        <f t="shared" si="0"/>
        <v>1.9782</v>
      </c>
      <c r="H6" s="52">
        <f t="shared" si="0"/>
        <v>2.2254749999999999</v>
      </c>
      <c r="I6" s="48">
        <f t="shared" si="0"/>
        <v>2.47275</v>
      </c>
      <c r="J6" s="52">
        <f t="shared" si="0"/>
        <v>2.7200250000000001</v>
      </c>
      <c r="K6" s="48">
        <f t="shared" si="0"/>
        <v>2.9672999999999998</v>
      </c>
      <c r="L6" s="48">
        <f t="shared" si="0"/>
        <v>3.214575</v>
      </c>
      <c r="M6" s="48">
        <f t="shared" si="0"/>
        <v>3.4618500000000001</v>
      </c>
      <c r="N6" s="48">
        <f t="shared" si="0"/>
        <v>3.7091249999999998</v>
      </c>
      <c r="O6" s="48">
        <f t="shared" si="0"/>
        <v>3.9563999999999999</v>
      </c>
      <c r="P6" s="52">
        <f t="shared" si="0"/>
        <v>4.2036749999999996</v>
      </c>
      <c r="Q6" s="48">
        <f t="shared" si="0"/>
        <v>4.9455</v>
      </c>
      <c r="R6" s="48">
        <f t="shared" si="0"/>
        <v>5.4400500000000003</v>
      </c>
      <c r="S6" s="48">
        <f t="shared" si="0"/>
        <v>5.9345999999999997</v>
      </c>
      <c r="T6" s="48">
        <f t="shared" si="1"/>
        <v>6.6764250000000001</v>
      </c>
      <c r="U6" s="48">
        <f t="shared" si="1"/>
        <v>7.4182499999999996</v>
      </c>
      <c r="V6" s="48">
        <f t="shared" si="1"/>
        <v>7.9127999999999998</v>
      </c>
      <c r="W6" s="48">
        <f t="shared" si="1"/>
        <v>8.4073499999999992</v>
      </c>
      <c r="X6" s="48">
        <f t="shared" si="1"/>
        <v>10.38555</v>
      </c>
      <c r="Y6" s="48">
        <f t="shared" si="1"/>
        <v>11.869199999999999</v>
      </c>
      <c r="Z6" s="50">
        <f t="shared" si="1"/>
        <v>13.105575</v>
      </c>
    </row>
    <row r="7" spans="2:26" ht="15" customHeight="1">
      <c r="B7" s="14">
        <v>33.5</v>
      </c>
      <c r="C7" s="48">
        <f t="shared" si="0"/>
        <v>1.314875</v>
      </c>
      <c r="D7" s="48">
        <f t="shared" si="0"/>
        <v>1.57785</v>
      </c>
      <c r="E7" s="48">
        <f t="shared" si="0"/>
        <v>1.7093375</v>
      </c>
      <c r="F7" s="48">
        <f t="shared" si="0"/>
        <v>1.8408249999999999</v>
      </c>
      <c r="G7" s="48">
        <f t="shared" si="0"/>
        <v>2.1038000000000001</v>
      </c>
      <c r="H7" s="48">
        <f t="shared" si="0"/>
        <v>2.3667750000000001</v>
      </c>
      <c r="I7" s="52">
        <f t="shared" si="0"/>
        <v>2.62975</v>
      </c>
      <c r="J7" s="48">
        <f t="shared" si="0"/>
        <v>2.892725</v>
      </c>
      <c r="K7" s="52">
        <f t="shared" si="0"/>
        <v>3.1556999999999999</v>
      </c>
      <c r="L7" s="48">
        <f t="shared" si="0"/>
        <v>3.4186749999999999</v>
      </c>
      <c r="M7" s="48">
        <f t="shared" si="0"/>
        <v>3.6816499999999999</v>
      </c>
      <c r="N7" s="48">
        <f t="shared" si="0"/>
        <v>3.9446249999999998</v>
      </c>
      <c r="O7" s="48">
        <f t="shared" si="0"/>
        <v>4.2076000000000002</v>
      </c>
      <c r="P7" s="52">
        <f t="shared" si="0"/>
        <v>4.4705750000000002</v>
      </c>
      <c r="Q7" s="52">
        <f t="shared" si="0"/>
        <v>5.2595000000000001</v>
      </c>
      <c r="R7" s="52">
        <f t="shared" si="0"/>
        <v>5.78545</v>
      </c>
      <c r="S7" s="48">
        <f t="shared" si="0"/>
        <v>6.3113999999999999</v>
      </c>
      <c r="T7" s="48">
        <f t="shared" si="1"/>
        <v>7.1003249999999998</v>
      </c>
      <c r="U7" s="48">
        <f t="shared" si="1"/>
        <v>7.8892499999999997</v>
      </c>
      <c r="V7" s="48">
        <f t="shared" si="1"/>
        <v>8.4152000000000005</v>
      </c>
      <c r="W7" s="48">
        <f t="shared" si="1"/>
        <v>8.9411500000000004</v>
      </c>
      <c r="X7" s="48">
        <f t="shared" si="1"/>
        <v>11.04495</v>
      </c>
      <c r="Y7" s="48">
        <f t="shared" si="1"/>
        <v>12.6228</v>
      </c>
      <c r="Z7" s="50">
        <f t="shared" si="1"/>
        <v>13.937675</v>
      </c>
    </row>
    <row r="8" spans="2:26" ht="15" customHeight="1">
      <c r="B8" s="14">
        <v>36.5</v>
      </c>
      <c r="C8" s="48">
        <f t="shared" si="0"/>
        <v>1.432625</v>
      </c>
      <c r="D8" s="52">
        <f t="shared" si="0"/>
        <v>1.71915</v>
      </c>
      <c r="E8" s="48">
        <f t="shared" si="0"/>
        <v>1.8624125</v>
      </c>
      <c r="F8" s="52">
        <f t="shared" si="0"/>
        <v>2.0056750000000001</v>
      </c>
      <c r="G8" s="48">
        <f t="shared" si="0"/>
        <v>2.2921999999999998</v>
      </c>
      <c r="H8" s="52">
        <f t="shared" si="0"/>
        <v>2.5787249999999999</v>
      </c>
      <c r="I8" s="48">
        <f t="shared" si="0"/>
        <v>2.8652500000000001</v>
      </c>
      <c r="J8" s="52">
        <f t="shared" si="0"/>
        <v>3.1517750000000002</v>
      </c>
      <c r="K8" s="48">
        <f t="shared" si="0"/>
        <v>3.4382999999999999</v>
      </c>
      <c r="L8" s="48">
        <f t="shared" si="0"/>
        <v>3.7248250000000001</v>
      </c>
      <c r="M8" s="52">
        <f t="shared" si="0"/>
        <v>4.0113500000000002</v>
      </c>
      <c r="N8" s="48">
        <f t="shared" si="0"/>
        <v>4.2978750000000003</v>
      </c>
      <c r="O8" s="48">
        <f t="shared" si="0"/>
        <v>4.5843999999999996</v>
      </c>
      <c r="P8" s="52">
        <f t="shared" si="0"/>
        <v>4.8709249999999997</v>
      </c>
      <c r="Q8" s="48">
        <f t="shared" si="0"/>
        <v>5.7305000000000001</v>
      </c>
      <c r="R8" s="52">
        <f t="shared" si="0"/>
        <v>6.3035500000000004</v>
      </c>
      <c r="S8" s="48">
        <f t="shared" si="0"/>
        <v>6.8765999999999998</v>
      </c>
      <c r="T8" s="52">
        <f t="shared" si="1"/>
        <v>7.7361750000000002</v>
      </c>
      <c r="U8" s="48">
        <f t="shared" si="1"/>
        <v>8.5957500000000007</v>
      </c>
      <c r="V8" s="48">
        <f t="shared" si="1"/>
        <v>9.1687999999999992</v>
      </c>
      <c r="W8" s="48">
        <f t="shared" si="1"/>
        <v>9.7418499999999995</v>
      </c>
      <c r="X8" s="48">
        <f t="shared" si="1"/>
        <v>12.034050000000001</v>
      </c>
      <c r="Y8" s="48">
        <f t="shared" si="1"/>
        <v>13.7532</v>
      </c>
      <c r="Z8" s="50">
        <f t="shared" si="1"/>
        <v>15.185824999999999</v>
      </c>
    </row>
    <row r="9" spans="2:26" ht="15" customHeight="1">
      <c r="B9" s="14">
        <v>41.5</v>
      </c>
      <c r="C9" s="48">
        <f t="shared" si="0"/>
        <v>1.6288750000000001</v>
      </c>
      <c r="D9" s="52">
        <f t="shared" si="0"/>
        <v>1.95465</v>
      </c>
      <c r="E9" s="48">
        <f t="shared" si="0"/>
        <v>2.1175375000000001</v>
      </c>
      <c r="F9" s="52">
        <f t="shared" si="0"/>
        <v>2.2804250000000001</v>
      </c>
      <c r="G9" s="48">
        <f t="shared" si="0"/>
        <v>2.6061999999999999</v>
      </c>
      <c r="H9" s="52">
        <f t="shared" si="0"/>
        <v>2.931975</v>
      </c>
      <c r="I9" s="48">
        <f t="shared" si="0"/>
        <v>3.2577500000000001</v>
      </c>
      <c r="J9" s="52">
        <f t="shared" si="0"/>
        <v>3.5835249999999998</v>
      </c>
      <c r="K9" s="48">
        <f t="shared" si="0"/>
        <v>3.9093</v>
      </c>
      <c r="L9" s="48">
        <f t="shared" si="0"/>
        <v>4.2350750000000001</v>
      </c>
      <c r="M9" s="52">
        <f t="shared" si="0"/>
        <v>4.5608500000000003</v>
      </c>
      <c r="N9" s="48">
        <f t="shared" si="0"/>
        <v>4.8866250000000004</v>
      </c>
      <c r="O9" s="48">
        <f t="shared" si="0"/>
        <v>5.2123999999999997</v>
      </c>
      <c r="P9" s="52">
        <f t="shared" si="0"/>
        <v>5.5381749999999998</v>
      </c>
      <c r="Q9" s="48">
        <f t="shared" si="0"/>
        <v>6.5155000000000003</v>
      </c>
      <c r="R9" s="52">
        <f t="shared" si="0"/>
        <v>7.1670499999999997</v>
      </c>
      <c r="S9" s="52">
        <f t="shared" si="0"/>
        <v>7.8186</v>
      </c>
      <c r="T9" s="52">
        <f t="shared" si="1"/>
        <v>8.7959250000000004</v>
      </c>
      <c r="U9" s="48">
        <f t="shared" si="1"/>
        <v>9.7732500000000009</v>
      </c>
      <c r="V9" s="52">
        <f t="shared" si="1"/>
        <v>10.424799999999999</v>
      </c>
      <c r="W9" s="52">
        <f t="shared" si="1"/>
        <v>11.07635</v>
      </c>
      <c r="X9" s="48">
        <f t="shared" si="1"/>
        <v>13.682550000000001</v>
      </c>
      <c r="Y9" s="48">
        <f t="shared" si="1"/>
        <v>15.6372</v>
      </c>
      <c r="Z9" s="50">
        <f t="shared" si="1"/>
        <v>17.266075000000001</v>
      </c>
    </row>
    <row r="10" spans="2:26" ht="15" customHeight="1">
      <c r="B10" s="14">
        <v>45</v>
      </c>
      <c r="C10" s="48">
        <f t="shared" si="0"/>
        <v>1.7662500000000001</v>
      </c>
      <c r="D10" s="48">
        <f t="shared" si="0"/>
        <v>2.1194999999999999</v>
      </c>
      <c r="E10" s="48">
        <f t="shared" si="0"/>
        <v>2.296125</v>
      </c>
      <c r="F10" s="48">
        <f t="shared" si="0"/>
        <v>2.47275</v>
      </c>
      <c r="G10" s="48">
        <f t="shared" si="0"/>
        <v>2.8260000000000001</v>
      </c>
      <c r="H10" s="48">
        <f t="shared" si="0"/>
        <v>3.1792500000000001</v>
      </c>
      <c r="I10" s="48">
        <f t="shared" si="0"/>
        <v>3.5325000000000002</v>
      </c>
      <c r="J10" s="48">
        <f t="shared" si="0"/>
        <v>3.8857499999999998</v>
      </c>
      <c r="K10" s="48">
        <f t="shared" si="0"/>
        <v>4.2389999999999999</v>
      </c>
      <c r="L10" s="48">
        <f t="shared" si="0"/>
        <v>4.5922499999999999</v>
      </c>
      <c r="M10" s="48">
        <f t="shared" si="0"/>
        <v>4.9455</v>
      </c>
      <c r="N10" s="48">
        <f t="shared" si="0"/>
        <v>5.2987500000000001</v>
      </c>
      <c r="O10" s="48">
        <f t="shared" si="0"/>
        <v>5.6520000000000001</v>
      </c>
      <c r="P10" s="48">
        <f t="shared" si="0"/>
        <v>6.0052500000000002</v>
      </c>
      <c r="Q10" s="48">
        <f t="shared" si="0"/>
        <v>7.0650000000000004</v>
      </c>
      <c r="R10" s="48">
        <f t="shared" si="0"/>
        <v>7.7714999999999996</v>
      </c>
      <c r="S10" s="48">
        <f t="shared" si="0"/>
        <v>8.4779999999999998</v>
      </c>
      <c r="T10" s="52">
        <f t="shared" si="1"/>
        <v>9.5377500000000008</v>
      </c>
      <c r="U10" s="48">
        <f t="shared" si="1"/>
        <v>10.5975</v>
      </c>
      <c r="V10" s="48">
        <f t="shared" si="1"/>
        <v>11.304</v>
      </c>
      <c r="W10" s="48">
        <f t="shared" si="1"/>
        <v>12.0105</v>
      </c>
      <c r="X10" s="48">
        <f t="shared" si="1"/>
        <v>14.836499999999999</v>
      </c>
      <c r="Y10" s="48">
        <f t="shared" si="1"/>
        <v>16.956</v>
      </c>
      <c r="Z10" s="50">
        <f t="shared" si="1"/>
        <v>18.722249999999999</v>
      </c>
    </row>
    <row r="11" spans="2:26" ht="15" customHeight="1">
      <c r="B11" s="14">
        <v>46.5</v>
      </c>
      <c r="C11" s="48">
        <f t="shared" si="0"/>
        <v>1.8251250000000001</v>
      </c>
      <c r="D11" s="52">
        <f t="shared" si="0"/>
        <v>2.19015</v>
      </c>
      <c r="E11" s="48">
        <f t="shared" si="0"/>
        <v>2.3726625000000001</v>
      </c>
      <c r="F11" s="52">
        <f t="shared" si="0"/>
        <v>2.5551750000000002</v>
      </c>
      <c r="G11" s="48">
        <f t="shared" si="0"/>
        <v>2.9201999999999999</v>
      </c>
      <c r="H11" s="52">
        <f t="shared" si="0"/>
        <v>3.2852250000000001</v>
      </c>
      <c r="I11" s="48">
        <f t="shared" si="0"/>
        <v>3.6502500000000002</v>
      </c>
      <c r="J11" s="52">
        <f t="shared" si="0"/>
        <v>4.0152749999999999</v>
      </c>
      <c r="K11" s="48">
        <f t="shared" si="0"/>
        <v>4.3803000000000001</v>
      </c>
      <c r="L11" s="48">
        <f t="shared" si="0"/>
        <v>4.7453250000000002</v>
      </c>
      <c r="M11" s="52">
        <f t="shared" si="0"/>
        <v>5.1103500000000004</v>
      </c>
      <c r="N11" s="48">
        <f t="shared" si="0"/>
        <v>5.4753749999999997</v>
      </c>
      <c r="O11" s="48">
        <f t="shared" si="0"/>
        <v>5.8403999999999998</v>
      </c>
      <c r="P11" s="52">
        <f t="shared" si="0"/>
        <v>6.205425</v>
      </c>
      <c r="Q11" s="48">
        <f t="shared" si="0"/>
        <v>7.3005000000000004</v>
      </c>
      <c r="R11" s="52">
        <f t="shared" si="0"/>
        <v>8.0305499999999999</v>
      </c>
      <c r="S11" s="48">
        <f t="shared" si="0"/>
        <v>8.7606000000000002</v>
      </c>
      <c r="T11" s="52">
        <f t="shared" si="1"/>
        <v>9.8556749999999997</v>
      </c>
      <c r="U11" s="48">
        <f t="shared" si="1"/>
        <v>10.950749999999999</v>
      </c>
      <c r="V11" s="48">
        <f t="shared" si="1"/>
        <v>11.6808</v>
      </c>
      <c r="W11" s="52">
        <f t="shared" si="1"/>
        <v>12.41085</v>
      </c>
      <c r="X11" s="48">
        <f t="shared" si="1"/>
        <v>15.331049999999999</v>
      </c>
      <c r="Y11" s="48">
        <f t="shared" si="1"/>
        <v>17.5212</v>
      </c>
      <c r="Z11" s="50">
        <f t="shared" si="1"/>
        <v>19.346325</v>
      </c>
    </row>
    <row r="12" spans="2:26" ht="15" customHeight="1">
      <c r="B12" s="14">
        <v>48</v>
      </c>
      <c r="C12" s="48">
        <f t="shared" si="0"/>
        <v>1.8839999999999999</v>
      </c>
      <c r="D12" s="48">
        <f t="shared" si="0"/>
        <v>2.2608000000000001</v>
      </c>
      <c r="E12" s="48">
        <f t="shared" si="0"/>
        <v>2.4491999999999998</v>
      </c>
      <c r="F12" s="48">
        <f t="shared" si="0"/>
        <v>2.6375999999999999</v>
      </c>
      <c r="G12" s="48">
        <f t="shared" si="0"/>
        <v>3.0144000000000002</v>
      </c>
      <c r="H12" s="48">
        <f t="shared" si="0"/>
        <v>3.3912</v>
      </c>
      <c r="I12" s="48">
        <f t="shared" si="0"/>
        <v>3.7679999999999998</v>
      </c>
      <c r="J12" s="48">
        <f t="shared" si="0"/>
        <v>4.1448</v>
      </c>
      <c r="K12" s="48">
        <f t="shared" si="0"/>
        <v>4.5216000000000003</v>
      </c>
      <c r="L12" s="48">
        <f t="shared" si="0"/>
        <v>4.8983999999999996</v>
      </c>
      <c r="M12" s="48">
        <f t="shared" si="0"/>
        <v>5.2751999999999999</v>
      </c>
      <c r="N12" s="48">
        <f t="shared" si="0"/>
        <v>5.6520000000000001</v>
      </c>
      <c r="O12" s="48">
        <f t="shared" si="0"/>
        <v>6.0288000000000004</v>
      </c>
      <c r="P12" s="48">
        <f t="shared" si="0"/>
        <v>6.4055999999999997</v>
      </c>
      <c r="Q12" s="52">
        <f t="shared" si="0"/>
        <v>7.5359999999999996</v>
      </c>
      <c r="R12" s="48">
        <f t="shared" si="0"/>
        <v>8.2896000000000001</v>
      </c>
      <c r="S12" s="48">
        <f t="shared" si="0"/>
        <v>9.0432000000000006</v>
      </c>
      <c r="T12" s="48">
        <f t="shared" si="1"/>
        <v>10.1736</v>
      </c>
      <c r="U12" s="48">
        <f t="shared" si="1"/>
        <v>11.304</v>
      </c>
      <c r="V12" s="48">
        <f t="shared" si="1"/>
        <v>12.057600000000001</v>
      </c>
      <c r="W12" s="48">
        <f t="shared" si="1"/>
        <v>12.811199999999999</v>
      </c>
      <c r="X12" s="48">
        <f t="shared" si="1"/>
        <v>15.8256</v>
      </c>
      <c r="Y12" s="48">
        <f t="shared" si="1"/>
        <v>18.086400000000001</v>
      </c>
      <c r="Z12" s="50">
        <f t="shared" si="1"/>
        <v>19.970400000000001</v>
      </c>
    </row>
    <row r="13" spans="2:26" ht="15" customHeight="1">
      <c r="B13" s="14">
        <v>50</v>
      </c>
      <c r="C13" s="48">
        <f t="shared" ref="C13:Q22" si="2">($B13*C$2*7850)/1000000</f>
        <v>1.9624999999999999</v>
      </c>
      <c r="D13" s="48">
        <f t="shared" si="2"/>
        <v>2.355</v>
      </c>
      <c r="E13" s="48">
        <f t="shared" si="2"/>
        <v>2.55125</v>
      </c>
      <c r="F13" s="48">
        <f t="shared" si="2"/>
        <v>2.7475000000000001</v>
      </c>
      <c r="G13" s="48">
        <f t="shared" si="2"/>
        <v>3.14</v>
      </c>
      <c r="H13" s="48">
        <f t="shared" si="2"/>
        <v>3.5325000000000002</v>
      </c>
      <c r="I13" s="48">
        <f t="shared" si="2"/>
        <v>3.9249999999999998</v>
      </c>
      <c r="J13" s="48">
        <f t="shared" si="2"/>
        <v>4.3174999999999999</v>
      </c>
      <c r="K13" s="48">
        <f t="shared" si="2"/>
        <v>4.71</v>
      </c>
      <c r="L13" s="48">
        <f t="shared" si="2"/>
        <v>5.1025</v>
      </c>
      <c r="M13" s="48">
        <f t="shared" si="2"/>
        <v>5.4950000000000001</v>
      </c>
      <c r="N13" s="48">
        <f t="shared" si="2"/>
        <v>5.8875000000000002</v>
      </c>
      <c r="O13" s="48">
        <f t="shared" si="2"/>
        <v>6.28</v>
      </c>
      <c r="P13" s="48">
        <f t="shared" si="2"/>
        <v>6.6725000000000003</v>
      </c>
      <c r="Q13" s="48">
        <f t="shared" si="2"/>
        <v>7.85</v>
      </c>
      <c r="R13" s="48">
        <f t="shared" si="0"/>
        <v>8.6349999999999998</v>
      </c>
      <c r="S13" s="48">
        <f t="shared" si="0"/>
        <v>9.42</v>
      </c>
      <c r="T13" s="48">
        <f t="shared" si="1"/>
        <v>10.5975</v>
      </c>
      <c r="U13" s="48">
        <f t="shared" si="1"/>
        <v>11.775</v>
      </c>
      <c r="V13" s="52">
        <f t="shared" si="1"/>
        <v>12.56</v>
      </c>
      <c r="W13" s="48">
        <f t="shared" si="1"/>
        <v>13.345000000000001</v>
      </c>
      <c r="X13" s="48">
        <f t="shared" si="1"/>
        <v>16.484999999999999</v>
      </c>
      <c r="Y13" s="48">
        <f t="shared" si="1"/>
        <v>18.84</v>
      </c>
      <c r="Z13" s="50">
        <f t="shared" si="1"/>
        <v>20.802499999999998</v>
      </c>
    </row>
    <row r="14" spans="2:26" ht="15" customHeight="1">
      <c r="B14" s="14">
        <v>51.5</v>
      </c>
      <c r="C14" s="48">
        <f t="shared" si="2"/>
        <v>2.0213749999999999</v>
      </c>
      <c r="D14" s="52">
        <f t="shared" si="2"/>
        <v>2.4256500000000001</v>
      </c>
      <c r="E14" s="48">
        <f t="shared" si="2"/>
        <v>2.6277875000000002</v>
      </c>
      <c r="F14" s="52">
        <f t="shared" si="2"/>
        <v>2.8299249999999998</v>
      </c>
      <c r="G14" s="48">
        <f t="shared" si="2"/>
        <v>3.2342</v>
      </c>
      <c r="H14" s="52">
        <f t="shared" si="2"/>
        <v>3.6384750000000001</v>
      </c>
      <c r="I14" s="48">
        <f t="shared" si="2"/>
        <v>4.0427499999999998</v>
      </c>
      <c r="J14" s="52">
        <f t="shared" si="2"/>
        <v>4.447025</v>
      </c>
      <c r="K14" s="48">
        <f t="shared" si="2"/>
        <v>4.8513000000000002</v>
      </c>
      <c r="L14" s="48">
        <f t="shared" si="2"/>
        <v>5.2555750000000003</v>
      </c>
      <c r="M14" s="52">
        <f t="shared" si="2"/>
        <v>5.6598499999999996</v>
      </c>
      <c r="N14" s="48">
        <f t="shared" si="2"/>
        <v>6.0641249999999998</v>
      </c>
      <c r="O14" s="48">
        <f t="shared" si="2"/>
        <v>6.4683999999999999</v>
      </c>
      <c r="P14" s="52">
        <f t="shared" si="2"/>
        <v>6.8726750000000001</v>
      </c>
      <c r="Q14" s="48">
        <f t="shared" si="2"/>
        <v>8.0854999999999997</v>
      </c>
      <c r="R14" s="52">
        <f t="shared" si="0"/>
        <v>8.89405</v>
      </c>
      <c r="S14" s="48">
        <f t="shared" si="0"/>
        <v>9.7026000000000003</v>
      </c>
      <c r="T14" s="52">
        <f t="shared" si="1"/>
        <v>10.915425000000001</v>
      </c>
      <c r="U14" s="52">
        <f t="shared" si="1"/>
        <v>12.12825</v>
      </c>
      <c r="V14" s="52">
        <f t="shared" si="1"/>
        <v>12.9368</v>
      </c>
      <c r="W14" s="52">
        <f t="shared" si="1"/>
        <v>13.74535</v>
      </c>
      <c r="X14" s="48">
        <f t="shared" si="1"/>
        <v>16.97955</v>
      </c>
      <c r="Y14" s="48">
        <f t="shared" si="1"/>
        <v>19.405200000000001</v>
      </c>
      <c r="Z14" s="50">
        <f t="shared" si="1"/>
        <v>21.426575</v>
      </c>
    </row>
    <row r="15" spans="2:26" ht="15" customHeight="1">
      <c r="B15" s="14">
        <v>55</v>
      </c>
      <c r="C15" s="48">
        <f t="shared" si="2"/>
        <v>2.1587499999999999</v>
      </c>
      <c r="D15" s="48">
        <f t="shared" si="2"/>
        <v>2.5905</v>
      </c>
      <c r="E15" s="48">
        <f t="shared" si="2"/>
        <v>2.8063750000000001</v>
      </c>
      <c r="F15" s="48">
        <f t="shared" si="2"/>
        <v>3.0222500000000001</v>
      </c>
      <c r="G15" s="48">
        <f t="shared" si="2"/>
        <v>3.4540000000000002</v>
      </c>
      <c r="H15" s="48">
        <f t="shared" si="2"/>
        <v>3.8857499999999998</v>
      </c>
      <c r="I15" s="48">
        <f t="shared" si="2"/>
        <v>4.3174999999999999</v>
      </c>
      <c r="J15" s="48">
        <f t="shared" si="2"/>
        <v>4.74925</v>
      </c>
      <c r="K15" s="48">
        <f t="shared" si="2"/>
        <v>5.181</v>
      </c>
      <c r="L15" s="48">
        <f t="shared" si="2"/>
        <v>5.6127500000000001</v>
      </c>
      <c r="M15" s="48">
        <f t="shared" si="2"/>
        <v>6.0445000000000002</v>
      </c>
      <c r="N15" s="48">
        <f t="shared" si="2"/>
        <v>6.4762500000000003</v>
      </c>
      <c r="O15" s="48">
        <f t="shared" si="2"/>
        <v>6.9080000000000004</v>
      </c>
      <c r="P15" s="48">
        <f t="shared" si="2"/>
        <v>7.3397500000000004</v>
      </c>
      <c r="Q15" s="48">
        <f t="shared" si="2"/>
        <v>8.6349999999999998</v>
      </c>
      <c r="R15" s="48">
        <f t="shared" si="0"/>
        <v>9.4984999999999999</v>
      </c>
      <c r="S15" s="48">
        <f t="shared" si="0"/>
        <v>10.362</v>
      </c>
      <c r="T15" s="48">
        <f t="shared" si="1"/>
        <v>11.657249999999999</v>
      </c>
      <c r="U15" s="48">
        <f t="shared" si="1"/>
        <v>12.952500000000001</v>
      </c>
      <c r="V15" s="48">
        <f t="shared" si="1"/>
        <v>13.816000000000001</v>
      </c>
      <c r="W15" s="52">
        <f t="shared" si="1"/>
        <v>14.679500000000001</v>
      </c>
      <c r="X15" s="48">
        <f t="shared" si="1"/>
        <v>18.133500000000002</v>
      </c>
      <c r="Y15" s="48">
        <f t="shared" si="1"/>
        <v>20.724</v>
      </c>
      <c r="Z15" s="50">
        <f t="shared" si="1"/>
        <v>22.882750000000001</v>
      </c>
    </row>
    <row r="16" spans="2:26" ht="15" customHeight="1">
      <c r="B16" s="14">
        <v>56.5</v>
      </c>
      <c r="C16" s="48">
        <f t="shared" si="2"/>
        <v>2.217625</v>
      </c>
      <c r="D16" s="48">
        <f t="shared" si="2"/>
        <v>2.6611500000000001</v>
      </c>
      <c r="E16" s="48">
        <f t="shared" si="2"/>
        <v>2.8829125000000002</v>
      </c>
      <c r="F16" s="52">
        <f t="shared" si="2"/>
        <v>3.1046749999999999</v>
      </c>
      <c r="G16" s="48">
        <f t="shared" si="2"/>
        <v>3.5482</v>
      </c>
      <c r="H16" s="52">
        <f t="shared" si="2"/>
        <v>3.9917250000000002</v>
      </c>
      <c r="I16" s="48">
        <f t="shared" si="2"/>
        <v>4.4352499999999999</v>
      </c>
      <c r="J16" s="52">
        <f t="shared" si="2"/>
        <v>4.8787750000000001</v>
      </c>
      <c r="K16" s="48">
        <f t="shared" si="2"/>
        <v>5.3223000000000003</v>
      </c>
      <c r="L16" s="48">
        <f t="shared" si="2"/>
        <v>5.7658250000000004</v>
      </c>
      <c r="M16" s="52">
        <f t="shared" si="2"/>
        <v>6.2093499999999997</v>
      </c>
      <c r="N16" s="48">
        <f t="shared" si="2"/>
        <v>6.6528749999999999</v>
      </c>
      <c r="O16" s="48">
        <f t="shared" si="2"/>
        <v>7.0964</v>
      </c>
      <c r="P16" s="52">
        <f t="shared" si="2"/>
        <v>7.5399250000000002</v>
      </c>
      <c r="Q16" s="48">
        <f t="shared" si="2"/>
        <v>8.8704999999999998</v>
      </c>
      <c r="R16" s="52">
        <f t="shared" si="0"/>
        <v>9.7575500000000002</v>
      </c>
      <c r="S16" s="48">
        <f t="shared" si="0"/>
        <v>10.644600000000001</v>
      </c>
      <c r="T16" s="48">
        <f t="shared" si="1"/>
        <v>11.975175</v>
      </c>
      <c r="U16" s="48">
        <f t="shared" si="1"/>
        <v>13.30575</v>
      </c>
      <c r="V16" s="48">
        <f t="shared" si="1"/>
        <v>14.1928</v>
      </c>
      <c r="W16" s="48">
        <f t="shared" si="1"/>
        <v>15.07985</v>
      </c>
      <c r="X16" s="48">
        <f t="shared" si="1"/>
        <v>18.628050000000002</v>
      </c>
      <c r="Y16" s="48">
        <f t="shared" si="1"/>
        <v>21.289200000000001</v>
      </c>
      <c r="Z16" s="50">
        <f t="shared" si="1"/>
        <v>23.506824999999999</v>
      </c>
    </row>
    <row r="17" spans="2:26" ht="15" customHeight="1">
      <c r="B17" s="14">
        <v>57</v>
      </c>
      <c r="C17" s="48">
        <f t="shared" si="2"/>
        <v>2.23725</v>
      </c>
      <c r="D17" s="48">
        <f t="shared" si="2"/>
        <v>2.6846999999999999</v>
      </c>
      <c r="E17" s="48">
        <f t="shared" si="2"/>
        <v>2.9084249999999998</v>
      </c>
      <c r="F17" s="48">
        <f t="shared" si="2"/>
        <v>3.1321500000000002</v>
      </c>
      <c r="G17" s="48">
        <f t="shared" si="2"/>
        <v>3.5796000000000001</v>
      </c>
      <c r="H17" s="48">
        <f t="shared" si="2"/>
        <v>4.02705</v>
      </c>
      <c r="I17" s="48">
        <f t="shared" si="2"/>
        <v>4.4744999999999999</v>
      </c>
      <c r="J17" s="48">
        <f t="shared" si="2"/>
        <v>4.9219499999999998</v>
      </c>
      <c r="K17" s="48">
        <f t="shared" si="2"/>
        <v>5.3693999999999997</v>
      </c>
      <c r="L17" s="48">
        <f t="shared" si="2"/>
        <v>5.8168499999999996</v>
      </c>
      <c r="M17" s="48">
        <f t="shared" si="2"/>
        <v>6.2643000000000004</v>
      </c>
      <c r="N17" s="52">
        <f t="shared" si="2"/>
        <v>6.7117500000000003</v>
      </c>
      <c r="O17" s="48">
        <f t="shared" si="2"/>
        <v>7.1592000000000002</v>
      </c>
      <c r="P17" s="48">
        <f t="shared" si="2"/>
        <v>7.6066500000000001</v>
      </c>
      <c r="Q17" s="48">
        <f t="shared" si="2"/>
        <v>8.9489999999999998</v>
      </c>
      <c r="R17" s="48">
        <f t="shared" si="0"/>
        <v>9.8438999999999997</v>
      </c>
      <c r="S17" s="48">
        <f t="shared" si="0"/>
        <v>10.738799999999999</v>
      </c>
      <c r="T17" s="48">
        <f t="shared" si="1"/>
        <v>12.081149999999999</v>
      </c>
      <c r="U17" s="48">
        <f t="shared" si="1"/>
        <v>13.423500000000001</v>
      </c>
      <c r="V17" s="48">
        <f t="shared" si="1"/>
        <v>14.3184</v>
      </c>
      <c r="W17" s="52">
        <f t="shared" si="1"/>
        <v>15.2133</v>
      </c>
      <c r="X17" s="48">
        <f t="shared" si="1"/>
        <v>18.792899999999999</v>
      </c>
      <c r="Y17" s="48">
        <f t="shared" si="1"/>
        <v>21.477599999999999</v>
      </c>
      <c r="Z17" s="50">
        <f t="shared" si="1"/>
        <v>23.714849999999998</v>
      </c>
    </row>
    <row r="18" spans="2:26" ht="15" customHeight="1">
      <c r="B18" s="14">
        <v>61.5</v>
      </c>
      <c r="C18" s="48">
        <f t="shared" si="2"/>
        <v>2.413875</v>
      </c>
      <c r="D18" s="52">
        <f t="shared" si="2"/>
        <v>2.8966500000000002</v>
      </c>
      <c r="E18" s="48">
        <f t="shared" si="2"/>
        <v>3.1380374999999998</v>
      </c>
      <c r="F18" s="52">
        <f t="shared" si="2"/>
        <v>3.3794249999999999</v>
      </c>
      <c r="G18" s="48">
        <f t="shared" si="2"/>
        <v>3.8622000000000001</v>
      </c>
      <c r="H18" s="52">
        <f t="shared" si="2"/>
        <v>4.3449749999999998</v>
      </c>
      <c r="I18" s="48">
        <f t="shared" si="2"/>
        <v>4.82775</v>
      </c>
      <c r="J18" s="48">
        <f t="shared" si="2"/>
        <v>5.3105250000000002</v>
      </c>
      <c r="K18" s="52">
        <f t="shared" si="2"/>
        <v>5.7933000000000003</v>
      </c>
      <c r="L18" s="48">
        <f t="shared" si="2"/>
        <v>6.2760749999999996</v>
      </c>
      <c r="M18" s="52">
        <f t="shared" si="2"/>
        <v>6.7588499999999998</v>
      </c>
      <c r="N18" s="48">
        <f t="shared" si="2"/>
        <v>7.241625</v>
      </c>
      <c r="O18" s="48">
        <f t="shared" si="2"/>
        <v>7.7244000000000002</v>
      </c>
      <c r="P18" s="52">
        <f t="shared" si="2"/>
        <v>8.2071749999999994</v>
      </c>
      <c r="Q18" s="48">
        <f t="shared" si="2"/>
        <v>9.6555</v>
      </c>
      <c r="R18" s="52">
        <f t="shared" si="0"/>
        <v>10.62105</v>
      </c>
      <c r="S18" s="48">
        <f t="shared" si="0"/>
        <v>11.586600000000001</v>
      </c>
      <c r="T18" s="52">
        <f t="shared" si="1"/>
        <v>13.034924999999999</v>
      </c>
      <c r="U18" s="48">
        <f t="shared" si="1"/>
        <v>14.48325</v>
      </c>
      <c r="V18" s="52">
        <f t="shared" si="1"/>
        <v>15.4488</v>
      </c>
      <c r="W18" s="48">
        <f t="shared" si="1"/>
        <v>16.414349999999999</v>
      </c>
      <c r="X18" s="52">
        <f t="shared" si="1"/>
        <v>20.27655</v>
      </c>
      <c r="Y18" s="48">
        <f t="shared" si="1"/>
        <v>23.173200000000001</v>
      </c>
      <c r="Z18" s="50">
        <f t="shared" si="1"/>
        <v>25.587074999999999</v>
      </c>
    </row>
    <row r="19" spans="2:26" ht="15" customHeight="1">
      <c r="B19" s="14">
        <v>65</v>
      </c>
      <c r="C19" s="48">
        <f t="shared" si="2"/>
        <v>2.55125</v>
      </c>
      <c r="D19" s="48">
        <f t="shared" si="2"/>
        <v>3.0615000000000001</v>
      </c>
      <c r="E19" s="48">
        <f t="shared" si="2"/>
        <v>3.3166250000000002</v>
      </c>
      <c r="F19" s="48">
        <f t="shared" si="2"/>
        <v>3.5717500000000002</v>
      </c>
      <c r="G19" s="48">
        <f t="shared" si="2"/>
        <v>4.0819999999999999</v>
      </c>
      <c r="H19" s="48">
        <f t="shared" si="2"/>
        <v>4.5922499999999999</v>
      </c>
      <c r="I19" s="48">
        <f t="shared" si="2"/>
        <v>5.1025</v>
      </c>
      <c r="J19" s="48">
        <f t="shared" si="2"/>
        <v>5.6127500000000001</v>
      </c>
      <c r="K19" s="48">
        <f t="shared" si="2"/>
        <v>6.1230000000000002</v>
      </c>
      <c r="L19" s="48">
        <f t="shared" si="2"/>
        <v>6.6332500000000003</v>
      </c>
      <c r="M19" s="48">
        <f t="shared" si="2"/>
        <v>7.1435000000000004</v>
      </c>
      <c r="N19" s="48">
        <f t="shared" si="2"/>
        <v>7.6537499999999996</v>
      </c>
      <c r="O19" s="48">
        <f t="shared" si="2"/>
        <v>8.1639999999999997</v>
      </c>
      <c r="P19" s="48">
        <f t="shared" si="2"/>
        <v>8.6742500000000007</v>
      </c>
      <c r="Q19" s="48">
        <f t="shared" si="2"/>
        <v>10.205</v>
      </c>
      <c r="R19" s="48">
        <f t="shared" ref="R19:R28" si="3">($B19*R$2*7850)/1000000</f>
        <v>11.2255</v>
      </c>
      <c r="S19" s="48">
        <f t="shared" ref="S19:Z28" si="4">($B19*S$2*7850)/1000000</f>
        <v>12.246</v>
      </c>
      <c r="T19" s="48">
        <f t="shared" si="4"/>
        <v>13.77675</v>
      </c>
      <c r="U19" s="48">
        <f t="shared" si="4"/>
        <v>15.307499999999999</v>
      </c>
      <c r="V19" s="48">
        <f t="shared" si="4"/>
        <v>16.327999999999999</v>
      </c>
      <c r="W19" s="52">
        <f t="shared" si="4"/>
        <v>17.348500000000001</v>
      </c>
      <c r="X19" s="48">
        <f t="shared" si="4"/>
        <v>21.430499999999999</v>
      </c>
      <c r="Y19" s="48">
        <f t="shared" si="4"/>
        <v>24.492000000000001</v>
      </c>
      <c r="Z19" s="50">
        <f t="shared" si="4"/>
        <v>27.04325</v>
      </c>
    </row>
    <row r="20" spans="2:26" ht="15" customHeight="1">
      <c r="B20" s="14">
        <v>70</v>
      </c>
      <c r="C20" s="48">
        <f t="shared" si="2"/>
        <v>2.7475000000000001</v>
      </c>
      <c r="D20" s="48">
        <f t="shared" si="2"/>
        <v>3.2970000000000002</v>
      </c>
      <c r="E20" s="48">
        <f t="shared" si="2"/>
        <v>3.5717500000000002</v>
      </c>
      <c r="F20" s="48">
        <f t="shared" si="2"/>
        <v>3.8464999999999998</v>
      </c>
      <c r="G20" s="48">
        <f t="shared" si="2"/>
        <v>4.3959999999999999</v>
      </c>
      <c r="H20" s="48">
        <f t="shared" si="2"/>
        <v>4.9455</v>
      </c>
      <c r="I20" s="48">
        <f t="shared" si="2"/>
        <v>5.4950000000000001</v>
      </c>
      <c r="J20" s="48">
        <f t="shared" si="2"/>
        <v>6.0445000000000002</v>
      </c>
      <c r="K20" s="48">
        <f t="shared" si="2"/>
        <v>6.5940000000000003</v>
      </c>
      <c r="L20" s="48">
        <f t="shared" si="2"/>
        <v>7.1435000000000004</v>
      </c>
      <c r="M20" s="48">
        <f t="shared" si="2"/>
        <v>7.6929999999999996</v>
      </c>
      <c r="N20" s="48">
        <f t="shared" si="2"/>
        <v>8.2424999999999997</v>
      </c>
      <c r="O20" s="48">
        <f t="shared" si="2"/>
        <v>8.7919999999999998</v>
      </c>
      <c r="P20" s="48">
        <f t="shared" si="2"/>
        <v>9.3414999999999999</v>
      </c>
      <c r="Q20" s="48">
        <f t="shared" si="2"/>
        <v>10.99</v>
      </c>
      <c r="R20" s="48">
        <f t="shared" si="3"/>
        <v>12.089</v>
      </c>
      <c r="S20" s="48">
        <f t="shared" si="4"/>
        <v>13.188000000000001</v>
      </c>
      <c r="T20" s="48">
        <f t="shared" si="4"/>
        <v>14.836499999999999</v>
      </c>
      <c r="U20" s="48">
        <f t="shared" si="4"/>
        <v>16.484999999999999</v>
      </c>
      <c r="V20" s="48">
        <f t="shared" si="4"/>
        <v>17.584</v>
      </c>
      <c r="W20" s="52">
        <f t="shared" si="4"/>
        <v>18.683</v>
      </c>
      <c r="X20" s="48">
        <f t="shared" si="4"/>
        <v>23.079000000000001</v>
      </c>
      <c r="Y20" s="48">
        <f t="shared" si="4"/>
        <v>26.376000000000001</v>
      </c>
      <c r="Z20" s="50">
        <f t="shared" si="4"/>
        <v>29.1235</v>
      </c>
    </row>
    <row r="21" spans="2:26" ht="15" customHeight="1">
      <c r="B21" s="14">
        <v>72</v>
      </c>
      <c r="C21" s="48">
        <f t="shared" si="2"/>
        <v>2.8260000000000001</v>
      </c>
      <c r="D21" s="48">
        <f t="shared" si="2"/>
        <v>3.3912</v>
      </c>
      <c r="E21" s="48">
        <f t="shared" si="2"/>
        <v>3.6738</v>
      </c>
      <c r="F21" s="48">
        <f t="shared" si="2"/>
        <v>3.9563999999999999</v>
      </c>
      <c r="G21" s="52">
        <f t="shared" si="2"/>
        <v>4.5216000000000003</v>
      </c>
      <c r="H21" s="48">
        <f t="shared" si="2"/>
        <v>5.0868000000000002</v>
      </c>
      <c r="I21" s="52">
        <f t="shared" si="2"/>
        <v>5.6520000000000001</v>
      </c>
      <c r="J21" s="48">
        <f t="shared" si="2"/>
        <v>6.2172000000000001</v>
      </c>
      <c r="K21" s="52">
        <f t="shared" si="2"/>
        <v>6.7824</v>
      </c>
      <c r="L21" s="48">
        <f t="shared" si="2"/>
        <v>7.3475999999999999</v>
      </c>
      <c r="M21" s="52">
        <f t="shared" si="2"/>
        <v>7.9127999999999998</v>
      </c>
      <c r="N21" s="48">
        <f t="shared" si="2"/>
        <v>8.4779999999999998</v>
      </c>
      <c r="O21" s="48">
        <f t="shared" si="2"/>
        <v>9.0432000000000006</v>
      </c>
      <c r="P21" s="52">
        <f t="shared" si="2"/>
        <v>9.6083999999999996</v>
      </c>
      <c r="Q21" s="48">
        <f t="shared" si="2"/>
        <v>11.304</v>
      </c>
      <c r="R21" s="52">
        <f t="shared" si="3"/>
        <v>12.4344</v>
      </c>
      <c r="S21" s="48">
        <f t="shared" si="4"/>
        <v>13.5648</v>
      </c>
      <c r="T21" s="52">
        <f t="shared" si="4"/>
        <v>15.260400000000001</v>
      </c>
      <c r="U21" s="48">
        <f t="shared" si="4"/>
        <v>16.956</v>
      </c>
      <c r="V21" s="52">
        <f t="shared" si="4"/>
        <v>18.086400000000001</v>
      </c>
      <c r="W21" s="48">
        <f t="shared" si="4"/>
        <v>19.216799999999999</v>
      </c>
      <c r="X21" s="48">
        <f t="shared" si="4"/>
        <v>23.738399999999999</v>
      </c>
      <c r="Y21" s="52">
        <f t="shared" si="4"/>
        <v>27.1296</v>
      </c>
      <c r="Z21" s="50">
        <f t="shared" si="4"/>
        <v>29.9556</v>
      </c>
    </row>
    <row r="22" spans="2:26" ht="15" customHeight="1">
      <c r="B22" s="14">
        <v>75</v>
      </c>
      <c r="C22" s="48">
        <f t="shared" si="2"/>
        <v>2.9437500000000001</v>
      </c>
      <c r="D22" s="48">
        <f t="shared" si="2"/>
        <v>3.5325000000000002</v>
      </c>
      <c r="E22" s="48">
        <f t="shared" si="2"/>
        <v>3.8268749999999998</v>
      </c>
      <c r="F22" s="48">
        <f t="shared" si="2"/>
        <v>4.1212499999999999</v>
      </c>
      <c r="G22" s="48">
        <f t="shared" si="2"/>
        <v>4.71</v>
      </c>
      <c r="H22" s="48">
        <f t="shared" si="2"/>
        <v>5.2987500000000001</v>
      </c>
      <c r="I22" s="48">
        <f t="shared" si="2"/>
        <v>5.8875000000000002</v>
      </c>
      <c r="J22" s="48">
        <f t="shared" si="2"/>
        <v>6.4762500000000003</v>
      </c>
      <c r="K22" s="48">
        <f t="shared" si="2"/>
        <v>7.0650000000000004</v>
      </c>
      <c r="L22" s="48">
        <f t="shared" si="2"/>
        <v>7.6537499999999996</v>
      </c>
      <c r="M22" s="48">
        <f t="shared" si="2"/>
        <v>8.2424999999999997</v>
      </c>
      <c r="N22" s="48">
        <f t="shared" si="2"/>
        <v>8.8312500000000007</v>
      </c>
      <c r="O22" s="48">
        <f t="shared" si="2"/>
        <v>9.42</v>
      </c>
      <c r="P22" s="48">
        <f t="shared" si="2"/>
        <v>10.008749999999999</v>
      </c>
      <c r="Q22" s="48">
        <f t="shared" si="2"/>
        <v>11.775</v>
      </c>
      <c r="R22" s="48">
        <f t="shared" si="3"/>
        <v>12.952500000000001</v>
      </c>
      <c r="S22" s="48">
        <f t="shared" si="4"/>
        <v>14.13</v>
      </c>
      <c r="T22" s="52">
        <f t="shared" si="4"/>
        <v>15.89625</v>
      </c>
      <c r="U22" s="48">
        <f t="shared" si="4"/>
        <v>17.662500000000001</v>
      </c>
      <c r="V22" s="48">
        <f t="shared" si="4"/>
        <v>18.84</v>
      </c>
      <c r="W22" s="52">
        <f t="shared" si="4"/>
        <v>20.017499999999998</v>
      </c>
      <c r="X22" s="48">
        <f t="shared" si="4"/>
        <v>24.727499999999999</v>
      </c>
      <c r="Y22" s="48">
        <f t="shared" si="4"/>
        <v>28.26</v>
      </c>
      <c r="Z22" s="50">
        <f t="shared" si="4"/>
        <v>31.203749999999999</v>
      </c>
    </row>
    <row r="23" spans="2:26" ht="15" customHeight="1">
      <c r="B23" s="14">
        <v>80</v>
      </c>
      <c r="C23" s="48">
        <f t="shared" ref="C23:Q28" si="5">($B23*C$2*7850)/1000000</f>
        <v>3.14</v>
      </c>
      <c r="D23" s="48">
        <f t="shared" si="5"/>
        <v>3.7679999999999998</v>
      </c>
      <c r="E23" s="48">
        <f t="shared" si="5"/>
        <v>4.0819999999999999</v>
      </c>
      <c r="F23" s="48">
        <f t="shared" si="5"/>
        <v>4.3959999999999999</v>
      </c>
      <c r="G23" s="48">
        <f t="shared" si="5"/>
        <v>5.024</v>
      </c>
      <c r="H23" s="48">
        <f t="shared" si="5"/>
        <v>5.6520000000000001</v>
      </c>
      <c r="I23" s="48">
        <f t="shared" si="5"/>
        <v>6.28</v>
      </c>
      <c r="J23" s="48">
        <f t="shared" si="5"/>
        <v>6.9080000000000004</v>
      </c>
      <c r="K23" s="48">
        <f t="shared" si="5"/>
        <v>7.5359999999999996</v>
      </c>
      <c r="L23" s="48">
        <f t="shared" si="5"/>
        <v>8.1639999999999997</v>
      </c>
      <c r="M23" s="48">
        <f t="shared" si="5"/>
        <v>8.7919999999999998</v>
      </c>
      <c r="N23" s="48">
        <f t="shared" si="5"/>
        <v>9.42</v>
      </c>
      <c r="O23" s="48">
        <f t="shared" si="5"/>
        <v>10.048</v>
      </c>
      <c r="P23" s="48">
        <f t="shared" si="5"/>
        <v>10.676</v>
      </c>
      <c r="Q23" s="48">
        <f t="shared" si="5"/>
        <v>12.56</v>
      </c>
      <c r="R23" s="48">
        <f t="shared" si="3"/>
        <v>13.816000000000001</v>
      </c>
      <c r="S23" s="48">
        <f t="shared" si="4"/>
        <v>15.071999999999999</v>
      </c>
      <c r="T23" s="52">
        <f t="shared" si="4"/>
        <v>16.956</v>
      </c>
      <c r="U23" s="48">
        <f t="shared" si="4"/>
        <v>18.84</v>
      </c>
      <c r="V23" s="48">
        <f t="shared" si="4"/>
        <v>20.096</v>
      </c>
      <c r="W23" s="52">
        <f t="shared" si="4"/>
        <v>21.352</v>
      </c>
      <c r="X23" s="48">
        <f t="shared" si="4"/>
        <v>26.376000000000001</v>
      </c>
      <c r="Y23" s="48">
        <f t="shared" si="4"/>
        <v>30.143999999999998</v>
      </c>
      <c r="Z23" s="50">
        <f t="shared" si="4"/>
        <v>33.283999999999999</v>
      </c>
    </row>
    <row r="24" spans="2:26" ht="15" customHeight="1">
      <c r="B24" s="14">
        <v>82</v>
      </c>
      <c r="C24" s="48">
        <f t="shared" si="5"/>
        <v>3.2185000000000001</v>
      </c>
      <c r="D24" s="48">
        <f t="shared" si="5"/>
        <v>3.8622000000000001</v>
      </c>
      <c r="E24" s="48">
        <f t="shared" si="5"/>
        <v>4.18405</v>
      </c>
      <c r="F24" s="52">
        <f t="shared" si="5"/>
        <v>4.5058999999999996</v>
      </c>
      <c r="G24" s="52">
        <f t="shared" si="5"/>
        <v>5.1496000000000004</v>
      </c>
      <c r="H24" s="48">
        <f t="shared" si="5"/>
        <v>5.7933000000000003</v>
      </c>
      <c r="I24" s="52">
        <f t="shared" si="5"/>
        <v>6.4370000000000003</v>
      </c>
      <c r="J24" s="48">
        <f t="shared" si="5"/>
        <v>7.0807000000000002</v>
      </c>
      <c r="K24" s="52">
        <f t="shared" si="5"/>
        <v>7.7244000000000002</v>
      </c>
      <c r="L24" s="48">
        <f t="shared" si="5"/>
        <v>8.3681000000000001</v>
      </c>
      <c r="M24" s="52">
        <f t="shared" si="5"/>
        <v>9.0117999999999991</v>
      </c>
      <c r="N24" s="48">
        <f t="shared" si="5"/>
        <v>9.6555</v>
      </c>
      <c r="O24" s="48">
        <f t="shared" si="5"/>
        <v>10.299200000000001</v>
      </c>
      <c r="P24" s="52">
        <f t="shared" si="5"/>
        <v>10.9429</v>
      </c>
      <c r="Q24" s="48">
        <f t="shared" si="5"/>
        <v>12.874000000000001</v>
      </c>
      <c r="R24" s="52">
        <f t="shared" si="3"/>
        <v>14.1614</v>
      </c>
      <c r="S24" s="48">
        <f t="shared" si="4"/>
        <v>15.4488</v>
      </c>
      <c r="T24" s="52">
        <f t="shared" si="4"/>
        <v>17.379899999999999</v>
      </c>
      <c r="U24" s="48">
        <f t="shared" si="4"/>
        <v>19.311</v>
      </c>
      <c r="V24" s="52">
        <f t="shared" si="4"/>
        <v>20.598400000000002</v>
      </c>
      <c r="W24" s="48">
        <f t="shared" si="4"/>
        <v>21.8858</v>
      </c>
      <c r="X24" s="48">
        <f t="shared" si="4"/>
        <v>27.035399999999999</v>
      </c>
      <c r="Y24" s="52">
        <f t="shared" si="4"/>
        <v>30.897600000000001</v>
      </c>
      <c r="Z24" s="53">
        <f t="shared" si="4"/>
        <v>34.116100000000003</v>
      </c>
    </row>
    <row r="25" spans="2:26" ht="15" customHeight="1">
      <c r="B25" s="14">
        <v>85</v>
      </c>
      <c r="C25" s="48">
        <f t="shared" si="5"/>
        <v>3.3362500000000002</v>
      </c>
      <c r="D25" s="48">
        <f t="shared" si="5"/>
        <v>4.0034999999999998</v>
      </c>
      <c r="E25" s="52">
        <f t="shared" si="5"/>
        <v>4.3371250000000003</v>
      </c>
      <c r="F25" s="48">
        <f t="shared" si="5"/>
        <v>4.67075</v>
      </c>
      <c r="G25" s="48">
        <f t="shared" si="5"/>
        <v>5.3380000000000001</v>
      </c>
      <c r="H25" s="48">
        <f t="shared" si="5"/>
        <v>6.0052500000000002</v>
      </c>
      <c r="I25" s="48">
        <f t="shared" si="5"/>
        <v>6.6725000000000003</v>
      </c>
      <c r="J25" s="48">
        <f t="shared" si="5"/>
        <v>7.3397500000000004</v>
      </c>
      <c r="K25" s="48">
        <f t="shared" si="5"/>
        <v>8.0069999999999997</v>
      </c>
      <c r="L25" s="48">
        <f t="shared" si="5"/>
        <v>8.6742500000000007</v>
      </c>
      <c r="M25" s="48">
        <f t="shared" si="5"/>
        <v>9.3414999999999999</v>
      </c>
      <c r="N25" s="48">
        <f t="shared" si="5"/>
        <v>10.008749999999999</v>
      </c>
      <c r="O25" s="48">
        <f t="shared" si="5"/>
        <v>10.676</v>
      </c>
      <c r="P25" s="48">
        <f t="shared" si="5"/>
        <v>11.343249999999999</v>
      </c>
      <c r="Q25" s="48">
        <f t="shared" si="5"/>
        <v>13.345000000000001</v>
      </c>
      <c r="R25" s="48">
        <f t="shared" si="3"/>
        <v>14.679500000000001</v>
      </c>
      <c r="S25" s="48">
        <f t="shared" si="4"/>
        <v>16.013999999999999</v>
      </c>
      <c r="T25" s="52">
        <f t="shared" si="4"/>
        <v>18.015750000000001</v>
      </c>
      <c r="U25" s="48">
        <f t="shared" si="4"/>
        <v>20.017499999999998</v>
      </c>
      <c r="V25" s="48">
        <f t="shared" si="4"/>
        <v>21.352</v>
      </c>
      <c r="W25" s="52">
        <f t="shared" si="4"/>
        <v>22.686499999999999</v>
      </c>
      <c r="X25" s="48">
        <f t="shared" si="4"/>
        <v>28.0245</v>
      </c>
      <c r="Y25" s="48">
        <f t="shared" si="4"/>
        <v>32.027999999999999</v>
      </c>
      <c r="Z25" s="50">
        <f t="shared" si="4"/>
        <v>35.364249999999998</v>
      </c>
    </row>
    <row r="26" spans="2:26" ht="15" customHeight="1">
      <c r="B26" s="14">
        <v>92</v>
      </c>
      <c r="C26" s="48">
        <f t="shared" si="5"/>
        <v>3.6110000000000002</v>
      </c>
      <c r="D26" s="48">
        <f t="shared" si="5"/>
        <v>4.3331999999999997</v>
      </c>
      <c r="E26" s="48">
        <f t="shared" si="5"/>
        <v>4.6943000000000001</v>
      </c>
      <c r="F26" s="48">
        <f t="shared" si="5"/>
        <v>5.0553999999999997</v>
      </c>
      <c r="G26" s="52">
        <f t="shared" si="5"/>
        <v>5.7775999999999996</v>
      </c>
      <c r="H26" s="48">
        <f t="shared" si="5"/>
        <v>6.4997999999999996</v>
      </c>
      <c r="I26" s="52">
        <f t="shared" si="5"/>
        <v>7.2220000000000004</v>
      </c>
      <c r="J26" s="48">
        <f t="shared" si="5"/>
        <v>7.9442000000000004</v>
      </c>
      <c r="K26" s="52">
        <f t="shared" si="5"/>
        <v>8.6663999999999994</v>
      </c>
      <c r="L26" s="48">
        <f t="shared" si="5"/>
        <v>9.3886000000000003</v>
      </c>
      <c r="M26" s="52">
        <f t="shared" si="5"/>
        <v>10.110799999999999</v>
      </c>
      <c r="N26" s="48">
        <f t="shared" si="5"/>
        <v>10.833</v>
      </c>
      <c r="O26" s="48">
        <f t="shared" si="5"/>
        <v>11.555199999999999</v>
      </c>
      <c r="P26" s="52">
        <f t="shared" si="5"/>
        <v>12.2774</v>
      </c>
      <c r="Q26" s="48">
        <f t="shared" si="5"/>
        <v>14.444000000000001</v>
      </c>
      <c r="R26" s="52">
        <f t="shared" si="3"/>
        <v>15.888400000000001</v>
      </c>
      <c r="S26" s="48">
        <f t="shared" si="4"/>
        <v>17.332799999999999</v>
      </c>
      <c r="T26" s="52">
        <f t="shared" si="4"/>
        <v>19.499400000000001</v>
      </c>
      <c r="U26" s="48">
        <f t="shared" si="4"/>
        <v>21.666</v>
      </c>
      <c r="V26" s="48">
        <f t="shared" si="4"/>
        <v>23.110399999999998</v>
      </c>
      <c r="W26" s="48">
        <f t="shared" si="4"/>
        <v>24.5548</v>
      </c>
      <c r="X26" s="48">
        <f t="shared" si="4"/>
        <v>30.3324</v>
      </c>
      <c r="Y26" s="48">
        <f t="shared" si="4"/>
        <v>34.665599999999998</v>
      </c>
      <c r="Z26" s="50">
        <f t="shared" si="4"/>
        <v>38.276600000000002</v>
      </c>
    </row>
    <row r="27" spans="2:26" ht="15" customHeight="1">
      <c r="B27" s="14">
        <v>102</v>
      </c>
      <c r="C27" s="48">
        <f t="shared" si="5"/>
        <v>4.0034999999999998</v>
      </c>
      <c r="D27" s="48">
        <f t="shared" si="5"/>
        <v>4.8041999999999998</v>
      </c>
      <c r="E27" s="48">
        <f t="shared" si="5"/>
        <v>5.2045500000000002</v>
      </c>
      <c r="F27" s="48">
        <f t="shared" si="5"/>
        <v>5.6048999999999998</v>
      </c>
      <c r="G27" s="48">
        <f t="shared" si="5"/>
        <v>6.4055999999999997</v>
      </c>
      <c r="H27" s="48">
        <f t="shared" si="5"/>
        <v>7.2062999999999997</v>
      </c>
      <c r="I27" s="48">
        <f t="shared" si="5"/>
        <v>8.0069999999999997</v>
      </c>
      <c r="J27" s="48">
        <f t="shared" si="5"/>
        <v>8.8077000000000005</v>
      </c>
      <c r="K27" s="52">
        <f t="shared" si="5"/>
        <v>9.6083999999999996</v>
      </c>
      <c r="L27" s="48">
        <f t="shared" si="5"/>
        <v>10.4091</v>
      </c>
      <c r="M27" s="52">
        <f t="shared" si="5"/>
        <v>11.2098</v>
      </c>
      <c r="N27" s="48">
        <f t="shared" si="5"/>
        <v>12.0105</v>
      </c>
      <c r="O27" s="48">
        <f t="shared" si="5"/>
        <v>12.811199999999999</v>
      </c>
      <c r="P27" s="52">
        <f t="shared" si="5"/>
        <v>13.6119</v>
      </c>
      <c r="Q27" s="48">
        <f t="shared" si="5"/>
        <v>16.013999999999999</v>
      </c>
      <c r="R27" s="52">
        <f t="shared" si="3"/>
        <v>17.615400000000001</v>
      </c>
      <c r="S27" s="48">
        <f t="shared" si="4"/>
        <v>19.216799999999999</v>
      </c>
      <c r="T27" s="52">
        <f t="shared" si="4"/>
        <v>21.6189</v>
      </c>
      <c r="U27" s="48">
        <f t="shared" si="4"/>
        <v>24.021000000000001</v>
      </c>
      <c r="V27" s="52">
        <f t="shared" si="4"/>
        <v>25.622399999999999</v>
      </c>
      <c r="W27" s="48">
        <f t="shared" si="4"/>
        <v>27.223800000000001</v>
      </c>
      <c r="X27" s="48">
        <f t="shared" si="4"/>
        <v>33.629399999999997</v>
      </c>
      <c r="Y27" s="52">
        <f t="shared" si="4"/>
        <v>38.433599999999998</v>
      </c>
      <c r="Z27" s="53">
        <f t="shared" si="4"/>
        <v>42.437100000000001</v>
      </c>
    </row>
    <row r="28" spans="2:26" ht="15" customHeight="1" thickBot="1">
      <c r="B28" s="58">
        <v>122</v>
      </c>
      <c r="C28" s="49">
        <f t="shared" si="5"/>
        <v>4.7885</v>
      </c>
      <c r="D28" s="49">
        <f t="shared" si="5"/>
        <v>5.7462</v>
      </c>
      <c r="E28" s="49">
        <f t="shared" si="5"/>
        <v>6.2250500000000004</v>
      </c>
      <c r="F28" s="49">
        <f t="shared" si="5"/>
        <v>6.7039</v>
      </c>
      <c r="G28" s="54">
        <f t="shared" si="5"/>
        <v>7.6616</v>
      </c>
      <c r="H28" s="49">
        <f t="shared" si="5"/>
        <v>8.6193000000000008</v>
      </c>
      <c r="I28" s="54">
        <f t="shared" si="5"/>
        <v>9.577</v>
      </c>
      <c r="J28" s="49">
        <f t="shared" si="5"/>
        <v>10.534700000000001</v>
      </c>
      <c r="K28" s="54">
        <f t="shared" si="5"/>
        <v>11.4924</v>
      </c>
      <c r="L28" s="49">
        <f t="shared" si="5"/>
        <v>12.450100000000001</v>
      </c>
      <c r="M28" s="54">
        <f t="shared" si="5"/>
        <v>13.4078</v>
      </c>
      <c r="N28" s="49">
        <f t="shared" si="5"/>
        <v>14.365500000000001</v>
      </c>
      <c r="O28" s="49">
        <f t="shared" si="5"/>
        <v>15.3232</v>
      </c>
      <c r="P28" s="54">
        <f t="shared" si="5"/>
        <v>16.280899999999999</v>
      </c>
      <c r="Q28" s="49">
        <f t="shared" si="5"/>
        <v>19.154</v>
      </c>
      <c r="R28" s="55">
        <f t="shared" si="3"/>
        <v>21.069400000000002</v>
      </c>
      <c r="S28" s="49">
        <f t="shared" si="4"/>
        <v>22.9848</v>
      </c>
      <c r="T28" s="54">
        <f t="shared" si="4"/>
        <v>25.857900000000001</v>
      </c>
      <c r="U28" s="49">
        <f t="shared" si="4"/>
        <v>28.731000000000002</v>
      </c>
      <c r="V28" s="54">
        <f t="shared" si="4"/>
        <v>30.6464</v>
      </c>
      <c r="W28" s="49">
        <f t="shared" si="4"/>
        <v>32.561799999999998</v>
      </c>
      <c r="X28" s="49">
        <f t="shared" si="4"/>
        <v>40.223399999999998</v>
      </c>
      <c r="Y28" s="49">
        <f t="shared" si="4"/>
        <v>45.9696</v>
      </c>
      <c r="Z28" s="51">
        <f t="shared" si="4"/>
        <v>50.758099999999999</v>
      </c>
    </row>
    <row r="29" spans="2:26" ht="15" customHeight="1" thickTop="1"/>
    <row r="30" spans="2:26" ht="15" customHeight="1"/>
    <row r="31" spans="2:26" ht="15" customHeight="1"/>
  </sheetData>
  <customSheetViews>
    <customSheetView guid="{C0BE45DA-73C0-4B1E-ABFB-A0FAB57D4E46}" showGridLines="0" showRuler="0">
      <pane xSplit="1" ySplit="3" topLeftCell="B4" activePane="bottomRight" state="frozen"/>
      <selection pane="bottomRight" activeCell="B3" sqref="B3"/>
      <pageMargins left="0.75" right="0.75" top="1" bottom="1" header="0.5" footer="0.5"/>
      <pageSetup paperSize="9" orientation="portrait" horizontalDpi="4294967293" verticalDpi="0" r:id="rId1"/>
      <headerFooter alignWithMargins="0"/>
    </customSheetView>
  </customSheetViews>
  <mergeCells count="1">
    <mergeCell ref="B1:Q1"/>
  </mergeCells>
  <phoneticPr fontId="2" type="noConversion"/>
  <pageMargins left="0.94488188976377963" right="0.35433070866141736" top="0.98425196850393704" bottom="0.39370078740157483" header="0.51181102362204722" footer="0.51181102362204722"/>
  <pageSetup paperSize="9" scale="78" orientation="landscape" horizontalDpi="4294967293" verticalDpi="0"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9"/>
  </sheetPr>
  <dimension ref="B1:L78"/>
  <sheetViews>
    <sheetView showGridLines="0" workbookViewId="0">
      <pane xSplit="1" ySplit="3" topLeftCell="B4" activePane="bottomRight" state="frozen"/>
      <selection pane="topRight" activeCell="B1" sqref="B1"/>
      <selection pane="bottomLeft" activeCell="A5" sqref="A5"/>
      <selection pane="bottomRight" activeCell="B1" sqref="B1:I1"/>
    </sheetView>
  </sheetViews>
  <sheetFormatPr defaultColWidth="9.109375" defaultRowHeight="13.2"/>
  <cols>
    <col min="1" max="1" width="2.6640625" style="43" customWidth="1"/>
    <col min="2" max="2" width="12.6640625" style="43" customWidth="1"/>
    <col min="3" max="9" width="15.6640625" style="43" customWidth="1"/>
    <col min="10" max="10" width="2.6640625" style="43" customWidth="1"/>
    <col min="11" max="16384" width="9.109375" style="43"/>
  </cols>
  <sheetData>
    <row r="1" spans="2:12" ht="20.100000000000001" customHeight="1" thickBot="1">
      <c r="B1" s="510" t="s">
        <v>58</v>
      </c>
      <c r="C1" s="510"/>
      <c r="D1" s="510"/>
      <c r="E1" s="510"/>
      <c r="F1" s="510"/>
      <c r="G1" s="510"/>
      <c r="H1" s="510"/>
      <c r="I1" s="510"/>
    </row>
    <row r="2" spans="2:12" ht="15" customHeight="1" thickTop="1">
      <c r="B2" s="75" t="s">
        <v>51</v>
      </c>
      <c r="C2" s="76" t="s">
        <v>52</v>
      </c>
      <c r="D2" s="76" t="s">
        <v>53</v>
      </c>
      <c r="E2" s="76" t="s">
        <v>54</v>
      </c>
      <c r="F2" s="76" t="s">
        <v>55</v>
      </c>
      <c r="G2" s="76" t="s">
        <v>56</v>
      </c>
      <c r="H2" s="76" t="s">
        <v>57</v>
      </c>
      <c r="I2" s="77" t="s">
        <v>59</v>
      </c>
    </row>
    <row r="3" spans="2:12" ht="15" customHeight="1">
      <c r="B3" s="57" t="s">
        <v>22</v>
      </c>
      <c r="C3" s="78">
        <v>2.73</v>
      </c>
      <c r="D3" s="78">
        <v>8.9499999999999993</v>
      </c>
      <c r="E3" s="78">
        <v>8.5500000000000007</v>
      </c>
      <c r="F3" s="78">
        <v>8.85</v>
      </c>
      <c r="G3" s="78">
        <v>7.17</v>
      </c>
      <c r="H3" s="78">
        <v>11.32</v>
      </c>
      <c r="I3" s="79">
        <v>7.85</v>
      </c>
    </row>
    <row r="4" spans="2:12" ht="15" customHeight="1">
      <c r="B4" s="80">
        <v>0.25</v>
      </c>
      <c r="C4" s="45">
        <f t="shared" ref="C4:C35" si="0">$B4*C$3</f>
        <v>0.6825</v>
      </c>
      <c r="D4" s="45">
        <f t="shared" ref="D4:I60" si="1">$B4*D$3</f>
        <v>2.2374999999999998</v>
      </c>
      <c r="E4" s="45">
        <f t="shared" si="1"/>
        <v>2.1375000000000002</v>
      </c>
      <c r="F4" s="45">
        <f t="shared" si="1"/>
        <v>2.2124999999999999</v>
      </c>
      <c r="G4" s="45">
        <f t="shared" si="1"/>
        <v>1.7925</v>
      </c>
      <c r="H4" s="45">
        <f t="shared" si="1"/>
        <v>2.83</v>
      </c>
      <c r="I4" s="46">
        <f t="shared" si="1"/>
        <v>1.9624999999999999</v>
      </c>
      <c r="K4" s="86"/>
      <c r="L4" s="86"/>
    </row>
    <row r="5" spans="2:12" ht="15" customHeight="1">
      <c r="B5" s="80">
        <v>0.3</v>
      </c>
      <c r="C5" s="45">
        <f t="shared" si="0"/>
        <v>0.81899999999999995</v>
      </c>
      <c r="D5" s="45">
        <f t="shared" si="1"/>
        <v>2.6849999999999996</v>
      </c>
      <c r="E5" s="45">
        <f t="shared" si="1"/>
        <v>2.5649999999999999</v>
      </c>
      <c r="F5" s="45">
        <f t="shared" si="1"/>
        <v>2.6549999999999998</v>
      </c>
      <c r="G5" s="45">
        <f t="shared" si="1"/>
        <v>2.1509999999999998</v>
      </c>
      <c r="H5" s="45">
        <f t="shared" si="1"/>
        <v>3.3959999999999999</v>
      </c>
      <c r="I5" s="46">
        <f t="shared" si="1"/>
        <v>2.355</v>
      </c>
      <c r="K5" s="86"/>
      <c r="L5" s="86"/>
    </row>
    <row r="6" spans="2:12" ht="15" customHeight="1">
      <c r="B6" s="80">
        <v>0.4</v>
      </c>
      <c r="C6" s="45">
        <f t="shared" si="0"/>
        <v>1.0920000000000001</v>
      </c>
      <c r="D6" s="45">
        <f t="shared" si="1"/>
        <v>3.58</v>
      </c>
      <c r="E6" s="45">
        <f t="shared" si="1"/>
        <v>3.4200000000000004</v>
      </c>
      <c r="F6" s="45">
        <f t="shared" si="1"/>
        <v>3.54</v>
      </c>
      <c r="G6" s="82">
        <f t="shared" si="1"/>
        <v>2.8680000000000003</v>
      </c>
      <c r="H6" s="45">
        <f t="shared" si="1"/>
        <v>4.5280000000000005</v>
      </c>
      <c r="I6" s="46">
        <f t="shared" si="1"/>
        <v>3.14</v>
      </c>
      <c r="K6" s="86"/>
      <c r="L6" s="86"/>
    </row>
    <row r="7" spans="2:12" ht="15" customHeight="1">
      <c r="B7" s="80">
        <v>0.5</v>
      </c>
      <c r="C7" s="45">
        <f t="shared" si="0"/>
        <v>1.365</v>
      </c>
      <c r="D7" s="45">
        <f t="shared" si="1"/>
        <v>4.4749999999999996</v>
      </c>
      <c r="E7" s="45">
        <f t="shared" si="1"/>
        <v>4.2750000000000004</v>
      </c>
      <c r="F7" s="45">
        <f t="shared" si="1"/>
        <v>4.4249999999999998</v>
      </c>
      <c r="G7" s="82">
        <f t="shared" si="1"/>
        <v>3.585</v>
      </c>
      <c r="H7" s="45">
        <f t="shared" si="1"/>
        <v>5.66</v>
      </c>
      <c r="I7" s="46">
        <f t="shared" si="1"/>
        <v>3.9249999999999998</v>
      </c>
      <c r="K7" s="86"/>
      <c r="L7" s="86"/>
    </row>
    <row r="8" spans="2:12" ht="15" customHeight="1">
      <c r="B8" s="80">
        <v>0.55000000000000004</v>
      </c>
      <c r="C8" s="45">
        <f t="shared" si="0"/>
        <v>1.5015000000000001</v>
      </c>
      <c r="D8" s="45">
        <f t="shared" si="1"/>
        <v>4.9225000000000003</v>
      </c>
      <c r="E8" s="45">
        <f t="shared" si="1"/>
        <v>4.7025000000000006</v>
      </c>
      <c r="F8" s="45">
        <f t="shared" si="1"/>
        <v>4.8675000000000006</v>
      </c>
      <c r="G8" s="82">
        <f t="shared" si="1"/>
        <v>3.9435000000000002</v>
      </c>
      <c r="H8" s="45">
        <f t="shared" si="1"/>
        <v>6.2260000000000009</v>
      </c>
      <c r="I8" s="46">
        <f t="shared" si="1"/>
        <v>4.3174999999999999</v>
      </c>
      <c r="K8" s="86"/>
      <c r="L8" s="86"/>
    </row>
    <row r="9" spans="2:12" ht="15" customHeight="1">
      <c r="B9" s="80">
        <v>0.56000000000000005</v>
      </c>
      <c r="C9" s="45">
        <f t="shared" si="0"/>
        <v>1.5288000000000002</v>
      </c>
      <c r="D9" s="45">
        <f t="shared" si="1"/>
        <v>5.0120000000000005</v>
      </c>
      <c r="E9" s="45">
        <f t="shared" si="1"/>
        <v>4.7880000000000011</v>
      </c>
      <c r="F9" s="45">
        <f t="shared" si="1"/>
        <v>4.9560000000000004</v>
      </c>
      <c r="G9" s="82">
        <f t="shared" si="1"/>
        <v>4.0152000000000001</v>
      </c>
      <c r="H9" s="45">
        <f t="shared" si="1"/>
        <v>6.3392000000000008</v>
      </c>
      <c r="I9" s="46">
        <f t="shared" si="1"/>
        <v>4.3959999999999999</v>
      </c>
      <c r="K9" s="86"/>
      <c r="L9" s="86"/>
    </row>
    <row r="10" spans="2:12" ht="15" customHeight="1">
      <c r="B10" s="80">
        <v>0.57999999999999996</v>
      </c>
      <c r="C10" s="45">
        <f t="shared" si="0"/>
        <v>1.5833999999999999</v>
      </c>
      <c r="D10" s="45">
        <f t="shared" si="1"/>
        <v>5.1909999999999989</v>
      </c>
      <c r="E10" s="45">
        <f t="shared" si="1"/>
        <v>4.9589999999999996</v>
      </c>
      <c r="F10" s="45">
        <f t="shared" si="1"/>
        <v>5.1329999999999991</v>
      </c>
      <c r="G10" s="82">
        <f>$B10*G$3</f>
        <v>4.1585999999999999</v>
      </c>
      <c r="H10" s="45">
        <f>$B10*H$3</f>
        <v>6.5655999999999999</v>
      </c>
      <c r="I10" s="46">
        <f>$B10*I$3</f>
        <v>4.552999999999999</v>
      </c>
      <c r="K10" s="86"/>
      <c r="L10" s="86"/>
    </row>
    <row r="11" spans="2:12" ht="15" customHeight="1">
      <c r="B11" s="80">
        <v>0.6</v>
      </c>
      <c r="C11" s="45">
        <f t="shared" si="0"/>
        <v>1.6379999999999999</v>
      </c>
      <c r="D11" s="45">
        <f t="shared" si="1"/>
        <v>5.3699999999999992</v>
      </c>
      <c r="E11" s="45">
        <f t="shared" si="1"/>
        <v>5.13</v>
      </c>
      <c r="F11" s="45">
        <f t="shared" si="1"/>
        <v>5.31</v>
      </c>
      <c r="G11" s="82">
        <f t="shared" si="1"/>
        <v>4.3019999999999996</v>
      </c>
      <c r="H11" s="45">
        <f t="shared" si="1"/>
        <v>6.7919999999999998</v>
      </c>
      <c r="I11" s="46">
        <f t="shared" si="1"/>
        <v>4.71</v>
      </c>
      <c r="K11" s="86"/>
      <c r="L11" s="86"/>
    </row>
    <row r="12" spans="2:12" ht="15" customHeight="1">
      <c r="B12" s="80">
        <v>0.61</v>
      </c>
      <c r="C12" s="45">
        <f t="shared" si="0"/>
        <v>1.6653</v>
      </c>
      <c r="D12" s="45">
        <f t="shared" si="1"/>
        <v>5.4594999999999994</v>
      </c>
      <c r="E12" s="45">
        <f t="shared" si="1"/>
        <v>5.2155000000000005</v>
      </c>
      <c r="F12" s="45">
        <f t="shared" si="1"/>
        <v>5.3984999999999994</v>
      </c>
      <c r="G12" s="82">
        <f t="shared" si="1"/>
        <v>4.3736999999999995</v>
      </c>
      <c r="H12" s="45">
        <f t="shared" si="1"/>
        <v>6.9051999999999998</v>
      </c>
      <c r="I12" s="46">
        <f t="shared" si="1"/>
        <v>4.7885</v>
      </c>
      <c r="K12" s="86"/>
      <c r="L12" s="86"/>
    </row>
    <row r="13" spans="2:12" ht="15" customHeight="1">
      <c r="B13" s="80">
        <v>0.65</v>
      </c>
      <c r="C13" s="45">
        <f t="shared" si="0"/>
        <v>1.7745</v>
      </c>
      <c r="D13" s="45">
        <f t="shared" si="1"/>
        <v>5.8174999999999999</v>
      </c>
      <c r="E13" s="45">
        <f t="shared" si="1"/>
        <v>5.557500000000001</v>
      </c>
      <c r="F13" s="45">
        <f t="shared" si="1"/>
        <v>5.7525000000000004</v>
      </c>
      <c r="G13" s="82">
        <f t="shared" si="1"/>
        <v>4.6604999999999999</v>
      </c>
      <c r="H13" s="45">
        <f t="shared" si="1"/>
        <v>7.3580000000000005</v>
      </c>
      <c r="I13" s="46">
        <f t="shared" si="1"/>
        <v>5.1025</v>
      </c>
      <c r="K13" s="86"/>
      <c r="L13" s="86"/>
    </row>
    <row r="14" spans="2:12" ht="15" customHeight="1">
      <c r="B14" s="80">
        <v>0.66</v>
      </c>
      <c r="C14" s="45">
        <f t="shared" si="0"/>
        <v>1.8018000000000001</v>
      </c>
      <c r="D14" s="45">
        <f t="shared" si="1"/>
        <v>5.907</v>
      </c>
      <c r="E14" s="45">
        <f t="shared" si="1"/>
        <v>5.6430000000000007</v>
      </c>
      <c r="F14" s="45">
        <f t="shared" si="1"/>
        <v>5.8410000000000002</v>
      </c>
      <c r="G14" s="82">
        <f t="shared" si="1"/>
        <v>4.7321999999999997</v>
      </c>
      <c r="H14" s="45">
        <f t="shared" si="1"/>
        <v>7.4712000000000005</v>
      </c>
      <c r="I14" s="46">
        <f t="shared" si="1"/>
        <v>5.181</v>
      </c>
      <c r="K14" s="86"/>
      <c r="L14" s="86"/>
    </row>
    <row r="15" spans="2:12" ht="15" customHeight="1">
      <c r="B15" s="80">
        <v>0.7</v>
      </c>
      <c r="C15" s="45">
        <f t="shared" si="0"/>
        <v>1.9109999999999998</v>
      </c>
      <c r="D15" s="45">
        <f t="shared" si="1"/>
        <v>6.2649999999999988</v>
      </c>
      <c r="E15" s="45">
        <f t="shared" si="1"/>
        <v>5.9850000000000003</v>
      </c>
      <c r="F15" s="45">
        <f t="shared" si="1"/>
        <v>6.1949999999999994</v>
      </c>
      <c r="G15" s="82">
        <f t="shared" si="1"/>
        <v>5.0189999999999992</v>
      </c>
      <c r="H15" s="45">
        <f t="shared" si="1"/>
        <v>7.9239999999999995</v>
      </c>
      <c r="I15" s="46">
        <f t="shared" si="1"/>
        <v>5.4949999999999992</v>
      </c>
      <c r="K15" s="86"/>
      <c r="L15" s="86"/>
    </row>
    <row r="16" spans="2:12" ht="15" customHeight="1">
      <c r="B16" s="80">
        <v>0.72</v>
      </c>
      <c r="C16" s="45">
        <f t="shared" si="0"/>
        <v>1.9656</v>
      </c>
      <c r="D16" s="45">
        <f t="shared" si="1"/>
        <v>6.4439999999999991</v>
      </c>
      <c r="E16" s="45">
        <f t="shared" si="1"/>
        <v>6.1560000000000006</v>
      </c>
      <c r="F16" s="45">
        <f t="shared" si="1"/>
        <v>6.3719999999999999</v>
      </c>
      <c r="G16" s="82">
        <f t="shared" si="1"/>
        <v>5.1623999999999999</v>
      </c>
      <c r="H16" s="45">
        <f t="shared" si="1"/>
        <v>8.1503999999999994</v>
      </c>
      <c r="I16" s="46">
        <f t="shared" si="1"/>
        <v>5.6519999999999992</v>
      </c>
      <c r="K16" s="86"/>
      <c r="L16" s="86"/>
    </row>
    <row r="17" spans="2:12" ht="15" customHeight="1">
      <c r="B17" s="80">
        <v>0.74</v>
      </c>
      <c r="C17" s="45">
        <f t="shared" si="0"/>
        <v>2.0202</v>
      </c>
      <c r="D17" s="45">
        <f t="shared" ref="D17:I17" si="2">$B17*D$3</f>
        <v>6.6229999999999993</v>
      </c>
      <c r="E17" s="45">
        <f t="shared" si="2"/>
        <v>6.3270000000000008</v>
      </c>
      <c r="F17" s="45">
        <f t="shared" si="2"/>
        <v>6.5489999999999995</v>
      </c>
      <c r="G17" s="82">
        <f t="shared" si="2"/>
        <v>5.3057999999999996</v>
      </c>
      <c r="H17" s="45">
        <f t="shared" si="2"/>
        <v>8.3767999999999994</v>
      </c>
      <c r="I17" s="46">
        <f t="shared" si="2"/>
        <v>5.8089999999999993</v>
      </c>
      <c r="K17" s="86"/>
      <c r="L17" s="86"/>
    </row>
    <row r="18" spans="2:12" ht="15" customHeight="1">
      <c r="B18" s="80">
        <v>0.75</v>
      </c>
      <c r="C18" s="45">
        <f t="shared" si="0"/>
        <v>2.0474999999999999</v>
      </c>
      <c r="D18" s="45">
        <f t="shared" si="1"/>
        <v>6.7124999999999995</v>
      </c>
      <c r="E18" s="45">
        <f t="shared" si="1"/>
        <v>6.4125000000000005</v>
      </c>
      <c r="F18" s="45">
        <f t="shared" si="1"/>
        <v>6.6374999999999993</v>
      </c>
      <c r="G18" s="82">
        <f t="shared" si="1"/>
        <v>5.3774999999999995</v>
      </c>
      <c r="H18" s="45">
        <f t="shared" si="1"/>
        <v>8.49</v>
      </c>
      <c r="I18" s="46">
        <f t="shared" si="1"/>
        <v>5.8874999999999993</v>
      </c>
      <c r="K18" s="86"/>
      <c r="L18" s="86"/>
    </row>
    <row r="19" spans="2:12" ht="15" customHeight="1">
      <c r="B19" s="80">
        <v>0.78</v>
      </c>
      <c r="C19" s="45">
        <f t="shared" si="0"/>
        <v>2.1294</v>
      </c>
      <c r="D19" s="45">
        <f t="shared" si="1"/>
        <v>6.9809999999999999</v>
      </c>
      <c r="E19" s="45">
        <f t="shared" si="1"/>
        <v>6.6690000000000005</v>
      </c>
      <c r="F19" s="45">
        <f t="shared" si="1"/>
        <v>6.9029999999999996</v>
      </c>
      <c r="G19" s="82">
        <f t="shared" si="1"/>
        <v>5.5926</v>
      </c>
      <c r="H19" s="45">
        <f t="shared" si="1"/>
        <v>8.829600000000001</v>
      </c>
      <c r="I19" s="46">
        <f t="shared" si="1"/>
        <v>6.1230000000000002</v>
      </c>
      <c r="K19" s="86"/>
      <c r="L19" s="86"/>
    </row>
    <row r="20" spans="2:12" ht="15" customHeight="1">
      <c r="B20" s="80">
        <v>0.8</v>
      </c>
      <c r="C20" s="45">
        <f t="shared" si="0"/>
        <v>2.1840000000000002</v>
      </c>
      <c r="D20" s="45">
        <f t="shared" si="1"/>
        <v>7.16</v>
      </c>
      <c r="E20" s="45">
        <f t="shared" si="1"/>
        <v>6.8400000000000007</v>
      </c>
      <c r="F20" s="45">
        <f t="shared" si="1"/>
        <v>7.08</v>
      </c>
      <c r="G20" s="82">
        <f t="shared" si="1"/>
        <v>5.7360000000000007</v>
      </c>
      <c r="H20" s="45">
        <f t="shared" si="1"/>
        <v>9.0560000000000009</v>
      </c>
      <c r="I20" s="46">
        <f t="shared" si="1"/>
        <v>6.28</v>
      </c>
      <c r="K20" s="86"/>
      <c r="L20" s="86"/>
    </row>
    <row r="21" spans="2:12" ht="15" customHeight="1">
      <c r="B21" s="80">
        <v>0.82</v>
      </c>
      <c r="C21" s="45">
        <f t="shared" si="0"/>
        <v>2.2385999999999999</v>
      </c>
      <c r="D21" s="45">
        <f t="shared" ref="D21:I21" si="3">$B21*D$3</f>
        <v>7.3389999999999986</v>
      </c>
      <c r="E21" s="45">
        <f t="shared" si="3"/>
        <v>7.0110000000000001</v>
      </c>
      <c r="F21" s="45">
        <f t="shared" si="3"/>
        <v>7.2569999999999997</v>
      </c>
      <c r="G21" s="82">
        <f t="shared" si="3"/>
        <v>5.8793999999999995</v>
      </c>
      <c r="H21" s="45">
        <f t="shared" si="3"/>
        <v>9.2823999999999991</v>
      </c>
      <c r="I21" s="46">
        <f t="shared" si="3"/>
        <v>6.4369999999999994</v>
      </c>
      <c r="K21" s="86"/>
      <c r="L21" s="86"/>
    </row>
    <row r="22" spans="2:12" ht="15" customHeight="1">
      <c r="B22" s="80">
        <v>0.83</v>
      </c>
      <c r="C22" s="45">
        <f t="shared" si="0"/>
        <v>2.2658999999999998</v>
      </c>
      <c r="D22" s="45">
        <f t="shared" si="1"/>
        <v>7.4284999999999988</v>
      </c>
      <c r="E22" s="45">
        <f t="shared" si="1"/>
        <v>7.0964999999999998</v>
      </c>
      <c r="F22" s="45">
        <f t="shared" si="1"/>
        <v>7.3454999999999995</v>
      </c>
      <c r="G22" s="82">
        <f t="shared" si="1"/>
        <v>5.9510999999999994</v>
      </c>
      <c r="H22" s="45">
        <f t="shared" si="1"/>
        <v>9.3956</v>
      </c>
      <c r="I22" s="46">
        <f t="shared" si="1"/>
        <v>6.5154999999999994</v>
      </c>
      <c r="K22" s="86"/>
      <c r="L22" s="86"/>
    </row>
    <row r="23" spans="2:12" ht="15" customHeight="1">
      <c r="B23" s="80">
        <v>0.85</v>
      </c>
      <c r="C23" s="45">
        <f t="shared" si="0"/>
        <v>2.3205</v>
      </c>
      <c r="D23" s="45">
        <f t="shared" si="1"/>
        <v>7.607499999999999</v>
      </c>
      <c r="E23" s="45">
        <f t="shared" si="1"/>
        <v>7.2675000000000001</v>
      </c>
      <c r="F23" s="45">
        <f t="shared" si="1"/>
        <v>7.5224999999999991</v>
      </c>
      <c r="G23" s="82">
        <f t="shared" si="1"/>
        <v>6.0945</v>
      </c>
      <c r="H23" s="45">
        <f t="shared" si="1"/>
        <v>9.6219999999999999</v>
      </c>
      <c r="I23" s="46">
        <f t="shared" si="1"/>
        <v>6.6724999999999994</v>
      </c>
      <c r="K23" s="86"/>
      <c r="L23" s="86"/>
    </row>
    <row r="24" spans="2:12" ht="15" customHeight="1">
      <c r="B24" s="80">
        <v>0.88</v>
      </c>
      <c r="C24" s="45">
        <f t="shared" si="0"/>
        <v>2.4024000000000001</v>
      </c>
      <c r="D24" s="45">
        <f t="shared" si="1"/>
        <v>7.8759999999999994</v>
      </c>
      <c r="E24" s="45">
        <f t="shared" si="1"/>
        <v>7.5240000000000009</v>
      </c>
      <c r="F24" s="45">
        <f t="shared" si="1"/>
        <v>7.7879999999999994</v>
      </c>
      <c r="G24" s="82">
        <f t="shared" si="1"/>
        <v>6.3095999999999997</v>
      </c>
      <c r="H24" s="45">
        <f t="shared" si="1"/>
        <v>9.9616000000000007</v>
      </c>
      <c r="I24" s="46">
        <f t="shared" si="1"/>
        <v>6.9079999999999995</v>
      </c>
      <c r="K24" s="86"/>
      <c r="L24" s="86"/>
    </row>
    <row r="25" spans="2:12" ht="15" customHeight="1">
      <c r="B25" s="80">
        <v>0.9</v>
      </c>
      <c r="C25" s="45">
        <f t="shared" si="0"/>
        <v>2.4569999999999999</v>
      </c>
      <c r="D25" s="45">
        <f t="shared" si="1"/>
        <v>8.0549999999999997</v>
      </c>
      <c r="E25" s="45">
        <f t="shared" si="1"/>
        <v>7.6950000000000012</v>
      </c>
      <c r="F25" s="45">
        <f t="shared" si="1"/>
        <v>7.9649999999999999</v>
      </c>
      <c r="G25" s="45">
        <f t="shared" si="1"/>
        <v>6.4530000000000003</v>
      </c>
      <c r="H25" s="45">
        <f t="shared" si="1"/>
        <v>10.188000000000001</v>
      </c>
      <c r="I25" s="46">
        <f t="shared" si="1"/>
        <v>7.0649999999999995</v>
      </c>
      <c r="K25" s="86"/>
      <c r="L25" s="86"/>
    </row>
    <row r="26" spans="2:12" ht="15" customHeight="1">
      <c r="B26" s="80">
        <v>0.92</v>
      </c>
      <c r="C26" s="45">
        <f t="shared" si="0"/>
        <v>2.5116000000000001</v>
      </c>
      <c r="D26" s="45">
        <f t="shared" si="1"/>
        <v>8.234</v>
      </c>
      <c r="E26" s="45">
        <f t="shared" si="1"/>
        <v>7.8660000000000014</v>
      </c>
      <c r="F26" s="45">
        <f t="shared" si="1"/>
        <v>8.1419999999999995</v>
      </c>
      <c r="G26" s="45">
        <f t="shared" si="1"/>
        <v>6.5964</v>
      </c>
      <c r="H26" s="45">
        <f t="shared" si="1"/>
        <v>10.414400000000001</v>
      </c>
      <c r="I26" s="46">
        <f t="shared" si="1"/>
        <v>7.2220000000000004</v>
      </c>
      <c r="K26" s="86"/>
      <c r="L26" s="86"/>
    </row>
    <row r="27" spans="2:12" ht="15" customHeight="1">
      <c r="B27" s="80">
        <v>0.94</v>
      </c>
      <c r="C27" s="45">
        <f t="shared" si="0"/>
        <v>2.5661999999999998</v>
      </c>
      <c r="D27" s="45">
        <f t="shared" si="1"/>
        <v>8.4129999999999985</v>
      </c>
      <c r="E27" s="45">
        <f t="shared" si="1"/>
        <v>8.0370000000000008</v>
      </c>
      <c r="F27" s="45">
        <f t="shared" si="1"/>
        <v>8.3189999999999991</v>
      </c>
      <c r="G27" s="45">
        <f t="shared" si="1"/>
        <v>6.7397999999999998</v>
      </c>
      <c r="H27" s="45">
        <f t="shared" si="1"/>
        <v>10.6408</v>
      </c>
      <c r="I27" s="46">
        <f t="shared" si="1"/>
        <v>7.3789999999999996</v>
      </c>
    </row>
    <row r="28" spans="2:12" ht="15" customHeight="1">
      <c r="B28" s="80">
        <v>0.95</v>
      </c>
      <c r="C28" s="45">
        <f t="shared" si="0"/>
        <v>2.5934999999999997</v>
      </c>
      <c r="D28" s="45">
        <f t="shared" ref="D28:I28" si="4">$B28*D$3</f>
        <v>8.5024999999999995</v>
      </c>
      <c r="E28" s="45">
        <f t="shared" si="4"/>
        <v>8.1225000000000005</v>
      </c>
      <c r="F28" s="45">
        <f t="shared" si="4"/>
        <v>8.4074999999999989</v>
      </c>
      <c r="G28" s="45">
        <f t="shared" si="4"/>
        <v>6.8114999999999997</v>
      </c>
      <c r="H28" s="45">
        <f t="shared" si="4"/>
        <v>10.754</v>
      </c>
      <c r="I28" s="46">
        <f t="shared" si="4"/>
        <v>7.4574999999999996</v>
      </c>
    </row>
    <row r="29" spans="2:12" ht="15" customHeight="1">
      <c r="B29" s="80">
        <v>1</v>
      </c>
      <c r="C29" s="45">
        <f t="shared" si="0"/>
        <v>2.73</v>
      </c>
      <c r="D29" s="45">
        <f t="shared" si="1"/>
        <v>8.9499999999999993</v>
      </c>
      <c r="E29" s="45">
        <f t="shared" si="1"/>
        <v>8.5500000000000007</v>
      </c>
      <c r="F29" s="45">
        <f t="shared" si="1"/>
        <v>8.85</v>
      </c>
      <c r="G29" s="45">
        <f t="shared" si="1"/>
        <v>7.17</v>
      </c>
      <c r="H29" s="45">
        <f t="shared" si="1"/>
        <v>11.32</v>
      </c>
      <c r="I29" s="46">
        <f t="shared" si="1"/>
        <v>7.85</v>
      </c>
    </row>
    <row r="30" spans="2:12" ht="15" customHeight="1">
      <c r="B30" s="80">
        <v>1.05</v>
      </c>
      <c r="C30" s="45">
        <f t="shared" si="0"/>
        <v>2.8665000000000003</v>
      </c>
      <c r="D30" s="45">
        <f t="shared" ref="D30:I33" si="5">$B30*D$3</f>
        <v>9.3974999999999991</v>
      </c>
      <c r="E30" s="45">
        <f t="shared" si="5"/>
        <v>8.9775000000000009</v>
      </c>
      <c r="F30" s="45">
        <f t="shared" si="5"/>
        <v>9.2925000000000004</v>
      </c>
      <c r="G30" s="45">
        <f t="shared" si="5"/>
        <v>7.5285000000000002</v>
      </c>
      <c r="H30" s="45">
        <f t="shared" si="5"/>
        <v>11.886000000000001</v>
      </c>
      <c r="I30" s="46">
        <f t="shared" si="5"/>
        <v>8.2424999999999997</v>
      </c>
    </row>
    <row r="31" spans="2:12" ht="15" customHeight="1">
      <c r="B31" s="80">
        <v>1.08</v>
      </c>
      <c r="C31" s="45">
        <f t="shared" si="0"/>
        <v>2.9484000000000004</v>
      </c>
      <c r="D31" s="45">
        <f t="shared" si="5"/>
        <v>9.6660000000000004</v>
      </c>
      <c r="E31" s="45">
        <f t="shared" si="5"/>
        <v>9.2340000000000018</v>
      </c>
      <c r="F31" s="45">
        <f t="shared" si="5"/>
        <v>9.5579999999999998</v>
      </c>
      <c r="G31" s="45">
        <f t="shared" si="5"/>
        <v>7.7436000000000007</v>
      </c>
      <c r="H31" s="45">
        <f t="shared" si="5"/>
        <v>12.225600000000002</v>
      </c>
      <c r="I31" s="46">
        <f t="shared" si="5"/>
        <v>8.4779999999999998</v>
      </c>
    </row>
    <row r="32" spans="2:12" ht="15" customHeight="1">
      <c r="B32" s="80">
        <v>1.1000000000000001</v>
      </c>
      <c r="C32" s="45">
        <f t="shared" si="0"/>
        <v>3.0030000000000001</v>
      </c>
      <c r="D32" s="45">
        <f t="shared" si="5"/>
        <v>9.8450000000000006</v>
      </c>
      <c r="E32" s="45">
        <f t="shared" si="5"/>
        <v>9.4050000000000011</v>
      </c>
      <c r="F32" s="45">
        <f t="shared" si="5"/>
        <v>9.7350000000000012</v>
      </c>
      <c r="G32" s="45">
        <f t="shared" si="5"/>
        <v>7.8870000000000005</v>
      </c>
      <c r="H32" s="45">
        <f t="shared" si="5"/>
        <v>12.452000000000002</v>
      </c>
      <c r="I32" s="46">
        <f t="shared" si="5"/>
        <v>8.6349999999999998</v>
      </c>
    </row>
    <row r="33" spans="2:9" ht="15" customHeight="1">
      <c r="B33" s="80">
        <v>1.1499999999999999</v>
      </c>
      <c r="C33" s="45">
        <f t="shared" si="0"/>
        <v>3.1395</v>
      </c>
      <c r="D33" s="45">
        <f t="shared" si="5"/>
        <v>10.292499999999999</v>
      </c>
      <c r="E33" s="45">
        <f t="shared" si="5"/>
        <v>9.8324999999999996</v>
      </c>
      <c r="F33" s="45">
        <f t="shared" si="5"/>
        <v>10.177499999999998</v>
      </c>
      <c r="G33" s="45">
        <f t="shared" si="5"/>
        <v>8.2454999999999998</v>
      </c>
      <c r="H33" s="45">
        <f t="shared" si="5"/>
        <v>13.017999999999999</v>
      </c>
      <c r="I33" s="46">
        <f t="shared" si="5"/>
        <v>9.0274999999999981</v>
      </c>
    </row>
    <row r="34" spans="2:9" ht="15" customHeight="1">
      <c r="B34" s="80">
        <v>1.2</v>
      </c>
      <c r="C34" s="45">
        <f t="shared" si="0"/>
        <v>3.2759999999999998</v>
      </c>
      <c r="D34" s="45">
        <f t="shared" si="1"/>
        <v>10.739999999999998</v>
      </c>
      <c r="E34" s="45">
        <f t="shared" si="1"/>
        <v>10.26</v>
      </c>
      <c r="F34" s="45">
        <f t="shared" si="1"/>
        <v>10.62</v>
      </c>
      <c r="G34" s="45">
        <f t="shared" si="1"/>
        <v>8.6039999999999992</v>
      </c>
      <c r="H34" s="45">
        <f t="shared" si="1"/>
        <v>13.584</v>
      </c>
      <c r="I34" s="46">
        <f t="shared" si="1"/>
        <v>9.42</v>
      </c>
    </row>
    <row r="35" spans="2:9" ht="15" customHeight="1">
      <c r="B35" s="80">
        <v>1.25</v>
      </c>
      <c r="C35" s="45">
        <f t="shared" si="0"/>
        <v>3.4125000000000001</v>
      </c>
      <c r="D35" s="45">
        <f t="shared" ref="D35:I39" si="6">$B35*D$3</f>
        <v>11.1875</v>
      </c>
      <c r="E35" s="45">
        <f t="shared" si="6"/>
        <v>10.6875</v>
      </c>
      <c r="F35" s="45">
        <f t="shared" si="6"/>
        <v>11.0625</v>
      </c>
      <c r="G35" s="45">
        <f t="shared" si="6"/>
        <v>8.9625000000000004</v>
      </c>
      <c r="H35" s="45">
        <f t="shared" si="6"/>
        <v>14.15</v>
      </c>
      <c r="I35" s="46">
        <f t="shared" si="6"/>
        <v>9.8125</v>
      </c>
    </row>
    <row r="36" spans="2:9" ht="15" customHeight="1">
      <c r="B36" s="80">
        <v>1.3</v>
      </c>
      <c r="C36" s="45">
        <f t="shared" ref="C36:C72" si="7">$B36*C$3</f>
        <v>3.5489999999999999</v>
      </c>
      <c r="D36" s="45">
        <f t="shared" si="6"/>
        <v>11.635</v>
      </c>
      <c r="E36" s="45">
        <f t="shared" si="6"/>
        <v>11.115000000000002</v>
      </c>
      <c r="F36" s="45">
        <f t="shared" si="6"/>
        <v>11.505000000000001</v>
      </c>
      <c r="G36" s="45">
        <f t="shared" si="6"/>
        <v>9.3209999999999997</v>
      </c>
      <c r="H36" s="45">
        <f t="shared" si="6"/>
        <v>14.716000000000001</v>
      </c>
      <c r="I36" s="46">
        <f t="shared" si="6"/>
        <v>10.205</v>
      </c>
    </row>
    <row r="37" spans="2:9" ht="15" customHeight="1">
      <c r="B37" s="80">
        <v>1.35</v>
      </c>
      <c r="C37" s="45">
        <f t="shared" si="7"/>
        <v>3.6855000000000002</v>
      </c>
      <c r="D37" s="45">
        <f t="shared" si="6"/>
        <v>12.0825</v>
      </c>
      <c r="E37" s="45">
        <f t="shared" si="6"/>
        <v>11.542500000000002</v>
      </c>
      <c r="F37" s="45">
        <f t="shared" si="6"/>
        <v>11.9475</v>
      </c>
      <c r="G37" s="45">
        <f t="shared" si="6"/>
        <v>9.6795000000000009</v>
      </c>
      <c r="H37" s="45">
        <f t="shared" si="6"/>
        <v>15.282000000000002</v>
      </c>
      <c r="I37" s="46">
        <f t="shared" si="6"/>
        <v>10.5975</v>
      </c>
    </row>
    <row r="38" spans="2:9" ht="15" customHeight="1">
      <c r="B38" s="80">
        <v>1.4</v>
      </c>
      <c r="C38" s="45">
        <f t="shared" si="7"/>
        <v>3.8219999999999996</v>
      </c>
      <c r="D38" s="45">
        <f t="shared" si="6"/>
        <v>12.529999999999998</v>
      </c>
      <c r="E38" s="45">
        <f t="shared" si="6"/>
        <v>11.97</v>
      </c>
      <c r="F38" s="45">
        <f t="shared" si="6"/>
        <v>12.389999999999999</v>
      </c>
      <c r="G38" s="45">
        <f t="shared" si="6"/>
        <v>10.037999999999998</v>
      </c>
      <c r="H38" s="45">
        <f t="shared" si="6"/>
        <v>15.847999999999999</v>
      </c>
      <c r="I38" s="46">
        <f t="shared" si="6"/>
        <v>10.989999999999998</v>
      </c>
    </row>
    <row r="39" spans="2:9" ht="15" customHeight="1">
      <c r="B39" s="80">
        <v>1.45</v>
      </c>
      <c r="C39" s="45">
        <f t="shared" si="7"/>
        <v>3.9584999999999999</v>
      </c>
      <c r="D39" s="45">
        <f t="shared" si="6"/>
        <v>12.977499999999999</v>
      </c>
      <c r="E39" s="45">
        <f t="shared" si="6"/>
        <v>12.397500000000001</v>
      </c>
      <c r="F39" s="45">
        <f t="shared" si="6"/>
        <v>12.8325</v>
      </c>
      <c r="G39" s="45">
        <f t="shared" si="6"/>
        <v>10.3965</v>
      </c>
      <c r="H39" s="45">
        <f t="shared" si="6"/>
        <v>16.414000000000001</v>
      </c>
      <c r="I39" s="46">
        <f t="shared" si="6"/>
        <v>11.382499999999999</v>
      </c>
    </row>
    <row r="40" spans="2:9" ht="15" customHeight="1">
      <c r="B40" s="80">
        <v>1.5</v>
      </c>
      <c r="C40" s="45">
        <f t="shared" si="7"/>
        <v>4.0949999999999998</v>
      </c>
      <c r="D40" s="45">
        <f t="shared" si="1"/>
        <v>13.424999999999999</v>
      </c>
      <c r="E40" s="45">
        <f t="shared" si="1"/>
        <v>12.825000000000001</v>
      </c>
      <c r="F40" s="45">
        <f t="shared" si="1"/>
        <v>13.274999999999999</v>
      </c>
      <c r="G40" s="45">
        <f t="shared" si="1"/>
        <v>10.754999999999999</v>
      </c>
      <c r="H40" s="45">
        <f t="shared" si="1"/>
        <v>16.98</v>
      </c>
      <c r="I40" s="46">
        <f t="shared" si="1"/>
        <v>11.774999999999999</v>
      </c>
    </row>
    <row r="41" spans="2:9" ht="15" customHeight="1">
      <c r="B41" s="80">
        <v>1.6</v>
      </c>
      <c r="C41" s="45">
        <f t="shared" si="7"/>
        <v>4.3680000000000003</v>
      </c>
      <c r="D41" s="45">
        <f t="shared" ref="D41:I42" si="8">$B41*D$3</f>
        <v>14.32</v>
      </c>
      <c r="E41" s="45">
        <f t="shared" si="8"/>
        <v>13.680000000000001</v>
      </c>
      <c r="F41" s="45">
        <f t="shared" si="8"/>
        <v>14.16</v>
      </c>
      <c r="G41" s="45">
        <f t="shared" si="8"/>
        <v>11.472000000000001</v>
      </c>
      <c r="H41" s="45">
        <f t="shared" si="8"/>
        <v>18.112000000000002</v>
      </c>
      <c r="I41" s="46">
        <f t="shared" si="8"/>
        <v>12.56</v>
      </c>
    </row>
    <row r="42" spans="2:9" ht="15" customHeight="1">
      <c r="B42" s="80">
        <v>1.7</v>
      </c>
      <c r="C42" s="45">
        <f t="shared" si="7"/>
        <v>4.641</v>
      </c>
      <c r="D42" s="45">
        <f t="shared" si="8"/>
        <v>15.214999999999998</v>
      </c>
      <c r="E42" s="45">
        <f t="shared" si="8"/>
        <v>14.535</v>
      </c>
      <c r="F42" s="45">
        <f t="shared" si="8"/>
        <v>15.044999999999998</v>
      </c>
      <c r="G42" s="45">
        <f t="shared" si="8"/>
        <v>12.189</v>
      </c>
      <c r="H42" s="45">
        <f t="shared" si="8"/>
        <v>19.244</v>
      </c>
      <c r="I42" s="46">
        <f t="shared" si="8"/>
        <v>13.344999999999999</v>
      </c>
    </row>
    <row r="43" spans="2:9" ht="15" customHeight="1">
      <c r="B43" s="80">
        <v>1.75</v>
      </c>
      <c r="C43" s="45">
        <f t="shared" si="7"/>
        <v>4.7774999999999999</v>
      </c>
      <c r="D43" s="45">
        <f t="shared" si="1"/>
        <v>15.662499999999998</v>
      </c>
      <c r="E43" s="45">
        <f t="shared" si="1"/>
        <v>14.962500000000002</v>
      </c>
      <c r="F43" s="45">
        <f t="shared" si="1"/>
        <v>15.487499999999999</v>
      </c>
      <c r="G43" s="45">
        <f t="shared" si="1"/>
        <v>12.547499999999999</v>
      </c>
      <c r="H43" s="45">
        <f t="shared" si="1"/>
        <v>19.810000000000002</v>
      </c>
      <c r="I43" s="46">
        <f t="shared" si="1"/>
        <v>13.737499999999999</v>
      </c>
    </row>
    <row r="44" spans="2:9" ht="15" customHeight="1">
      <c r="B44" s="80">
        <v>2</v>
      </c>
      <c r="C44" s="45">
        <f t="shared" si="7"/>
        <v>5.46</v>
      </c>
      <c r="D44" s="45">
        <f t="shared" si="1"/>
        <v>17.899999999999999</v>
      </c>
      <c r="E44" s="45">
        <f t="shared" si="1"/>
        <v>17.100000000000001</v>
      </c>
      <c r="F44" s="45">
        <f t="shared" si="1"/>
        <v>17.7</v>
      </c>
      <c r="G44" s="45">
        <f t="shared" si="1"/>
        <v>14.34</v>
      </c>
      <c r="H44" s="45">
        <f t="shared" si="1"/>
        <v>22.64</v>
      </c>
      <c r="I44" s="46">
        <f t="shared" si="1"/>
        <v>15.7</v>
      </c>
    </row>
    <row r="45" spans="2:9" ht="15" customHeight="1">
      <c r="B45" s="80">
        <v>2.25</v>
      </c>
      <c r="C45" s="45">
        <f t="shared" si="7"/>
        <v>6.1425000000000001</v>
      </c>
      <c r="D45" s="45">
        <f t="shared" si="1"/>
        <v>20.137499999999999</v>
      </c>
      <c r="E45" s="45">
        <f t="shared" si="1"/>
        <v>19.237500000000001</v>
      </c>
      <c r="F45" s="45">
        <f t="shared" si="1"/>
        <v>19.912499999999998</v>
      </c>
      <c r="G45" s="45">
        <f t="shared" si="1"/>
        <v>16.1325</v>
      </c>
      <c r="H45" s="45">
        <f t="shared" si="1"/>
        <v>25.47</v>
      </c>
      <c r="I45" s="46">
        <f t="shared" si="1"/>
        <v>17.662499999999998</v>
      </c>
    </row>
    <row r="46" spans="2:9" ht="15" customHeight="1">
      <c r="B46" s="80">
        <v>2.5</v>
      </c>
      <c r="C46" s="45">
        <f t="shared" si="7"/>
        <v>6.8250000000000002</v>
      </c>
      <c r="D46" s="45">
        <f t="shared" si="1"/>
        <v>22.375</v>
      </c>
      <c r="E46" s="45">
        <f t="shared" si="1"/>
        <v>21.375</v>
      </c>
      <c r="F46" s="45">
        <f t="shared" si="1"/>
        <v>22.125</v>
      </c>
      <c r="G46" s="45">
        <f t="shared" si="1"/>
        <v>17.925000000000001</v>
      </c>
      <c r="H46" s="45">
        <f t="shared" si="1"/>
        <v>28.3</v>
      </c>
      <c r="I46" s="46">
        <f t="shared" si="1"/>
        <v>19.625</v>
      </c>
    </row>
    <row r="47" spans="2:9" ht="15" customHeight="1">
      <c r="B47" s="80">
        <v>2.75</v>
      </c>
      <c r="C47" s="45">
        <f t="shared" si="7"/>
        <v>7.5075000000000003</v>
      </c>
      <c r="D47" s="45">
        <f t="shared" si="1"/>
        <v>24.612499999999997</v>
      </c>
      <c r="E47" s="45">
        <f t="shared" si="1"/>
        <v>23.512500000000003</v>
      </c>
      <c r="F47" s="45">
        <f t="shared" si="1"/>
        <v>24.337499999999999</v>
      </c>
      <c r="G47" s="45">
        <f t="shared" si="1"/>
        <v>19.717500000000001</v>
      </c>
      <c r="H47" s="45">
        <f t="shared" si="1"/>
        <v>31.130000000000003</v>
      </c>
      <c r="I47" s="46">
        <f t="shared" si="1"/>
        <v>21.587499999999999</v>
      </c>
    </row>
    <row r="48" spans="2:9" ht="15" customHeight="1">
      <c r="B48" s="80">
        <v>3</v>
      </c>
      <c r="C48" s="45">
        <f t="shared" si="7"/>
        <v>8.19</v>
      </c>
      <c r="D48" s="45">
        <f t="shared" si="1"/>
        <v>26.849999999999998</v>
      </c>
      <c r="E48" s="45">
        <f t="shared" si="1"/>
        <v>25.650000000000002</v>
      </c>
      <c r="F48" s="45">
        <f t="shared" si="1"/>
        <v>26.549999999999997</v>
      </c>
      <c r="G48" s="45">
        <f t="shared" si="1"/>
        <v>21.509999999999998</v>
      </c>
      <c r="H48" s="45">
        <f t="shared" si="1"/>
        <v>33.96</v>
      </c>
      <c r="I48" s="46">
        <f t="shared" si="1"/>
        <v>23.549999999999997</v>
      </c>
    </row>
    <row r="49" spans="2:9" ht="15" customHeight="1">
      <c r="B49" s="80">
        <v>3.5</v>
      </c>
      <c r="C49" s="45">
        <f t="shared" si="7"/>
        <v>9.5549999999999997</v>
      </c>
      <c r="D49" s="45">
        <f t="shared" si="1"/>
        <v>31.324999999999996</v>
      </c>
      <c r="E49" s="45">
        <f t="shared" si="1"/>
        <v>29.925000000000004</v>
      </c>
      <c r="F49" s="45">
        <f t="shared" si="1"/>
        <v>30.974999999999998</v>
      </c>
      <c r="G49" s="45">
        <f t="shared" si="1"/>
        <v>25.094999999999999</v>
      </c>
      <c r="H49" s="45">
        <f t="shared" si="1"/>
        <v>39.620000000000005</v>
      </c>
      <c r="I49" s="46">
        <f t="shared" si="1"/>
        <v>27.474999999999998</v>
      </c>
    </row>
    <row r="50" spans="2:9" ht="15" customHeight="1">
      <c r="B50" s="80">
        <v>4</v>
      </c>
      <c r="C50" s="45">
        <f t="shared" si="7"/>
        <v>10.92</v>
      </c>
      <c r="D50" s="45">
        <f t="shared" si="1"/>
        <v>35.799999999999997</v>
      </c>
      <c r="E50" s="45">
        <f t="shared" si="1"/>
        <v>34.200000000000003</v>
      </c>
      <c r="F50" s="45">
        <f t="shared" si="1"/>
        <v>35.4</v>
      </c>
      <c r="G50" s="45">
        <f t="shared" si="1"/>
        <v>28.68</v>
      </c>
      <c r="H50" s="45">
        <f t="shared" si="1"/>
        <v>45.28</v>
      </c>
      <c r="I50" s="46">
        <f t="shared" si="1"/>
        <v>31.4</v>
      </c>
    </row>
    <row r="51" spans="2:9" ht="15" customHeight="1">
      <c r="B51" s="80">
        <v>4.5</v>
      </c>
      <c r="C51" s="45">
        <f t="shared" si="7"/>
        <v>12.285</v>
      </c>
      <c r="D51" s="45">
        <f t="shared" si="1"/>
        <v>40.274999999999999</v>
      </c>
      <c r="E51" s="45">
        <f t="shared" si="1"/>
        <v>38.475000000000001</v>
      </c>
      <c r="F51" s="45">
        <f t="shared" si="1"/>
        <v>39.824999999999996</v>
      </c>
      <c r="G51" s="45">
        <f t="shared" si="1"/>
        <v>32.265000000000001</v>
      </c>
      <c r="H51" s="45">
        <f t="shared" si="1"/>
        <v>50.94</v>
      </c>
      <c r="I51" s="46">
        <f t="shared" si="1"/>
        <v>35.324999999999996</v>
      </c>
    </row>
    <row r="52" spans="2:9" ht="15" customHeight="1">
      <c r="B52" s="80">
        <v>5</v>
      </c>
      <c r="C52" s="45">
        <f t="shared" si="7"/>
        <v>13.65</v>
      </c>
      <c r="D52" s="45">
        <f t="shared" si="1"/>
        <v>44.75</v>
      </c>
      <c r="E52" s="45">
        <f t="shared" si="1"/>
        <v>42.75</v>
      </c>
      <c r="F52" s="45">
        <f t="shared" si="1"/>
        <v>44.25</v>
      </c>
      <c r="G52" s="45">
        <f t="shared" si="1"/>
        <v>35.85</v>
      </c>
      <c r="H52" s="45">
        <f t="shared" si="1"/>
        <v>56.6</v>
      </c>
      <c r="I52" s="46">
        <f t="shared" si="1"/>
        <v>39.25</v>
      </c>
    </row>
    <row r="53" spans="2:9" ht="15" customHeight="1">
      <c r="B53" s="80">
        <v>6</v>
      </c>
      <c r="C53" s="45">
        <f t="shared" si="7"/>
        <v>16.38</v>
      </c>
      <c r="D53" s="45">
        <f t="shared" si="1"/>
        <v>53.699999999999996</v>
      </c>
      <c r="E53" s="45">
        <f t="shared" si="1"/>
        <v>51.300000000000004</v>
      </c>
      <c r="F53" s="45">
        <f t="shared" si="1"/>
        <v>53.099999999999994</v>
      </c>
      <c r="G53" s="45">
        <f t="shared" si="1"/>
        <v>43.019999999999996</v>
      </c>
      <c r="H53" s="45">
        <f t="shared" si="1"/>
        <v>67.92</v>
      </c>
      <c r="I53" s="46">
        <f t="shared" si="1"/>
        <v>47.099999999999994</v>
      </c>
    </row>
    <row r="54" spans="2:9" ht="15" customHeight="1">
      <c r="B54" s="80">
        <v>7</v>
      </c>
      <c r="C54" s="45">
        <f t="shared" si="7"/>
        <v>19.11</v>
      </c>
      <c r="D54" s="45">
        <f t="shared" si="1"/>
        <v>62.649999999999991</v>
      </c>
      <c r="E54" s="45">
        <f t="shared" si="1"/>
        <v>59.850000000000009</v>
      </c>
      <c r="F54" s="45">
        <f t="shared" si="1"/>
        <v>61.949999999999996</v>
      </c>
      <c r="G54" s="45">
        <f t="shared" si="1"/>
        <v>50.19</v>
      </c>
      <c r="H54" s="45">
        <f t="shared" si="1"/>
        <v>79.240000000000009</v>
      </c>
      <c r="I54" s="46">
        <f t="shared" si="1"/>
        <v>54.949999999999996</v>
      </c>
    </row>
    <row r="55" spans="2:9" ht="15" customHeight="1">
      <c r="B55" s="80">
        <v>8</v>
      </c>
      <c r="C55" s="45">
        <f t="shared" si="7"/>
        <v>21.84</v>
      </c>
      <c r="D55" s="45">
        <f t="shared" si="1"/>
        <v>71.599999999999994</v>
      </c>
      <c r="E55" s="45">
        <f t="shared" si="1"/>
        <v>68.400000000000006</v>
      </c>
      <c r="F55" s="45">
        <f t="shared" si="1"/>
        <v>70.8</v>
      </c>
      <c r="G55" s="45">
        <f t="shared" si="1"/>
        <v>57.36</v>
      </c>
      <c r="H55" s="45">
        <f t="shared" si="1"/>
        <v>90.56</v>
      </c>
      <c r="I55" s="46">
        <f t="shared" si="1"/>
        <v>62.8</v>
      </c>
    </row>
    <row r="56" spans="2:9" ht="15" customHeight="1">
      <c r="B56" s="80">
        <v>9</v>
      </c>
      <c r="C56" s="45">
        <f t="shared" si="7"/>
        <v>24.57</v>
      </c>
      <c r="D56" s="45">
        <f t="shared" si="1"/>
        <v>80.55</v>
      </c>
      <c r="E56" s="45">
        <f t="shared" si="1"/>
        <v>76.95</v>
      </c>
      <c r="F56" s="45">
        <f t="shared" si="1"/>
        <v>79.649999999999991</v>
      </c>
      <c r="G56" s="45">
        <f t="shared" si="1"/>
        <v>64.53</v>
      </c>
      <c r="H56" s="45">
        <f t="shared" si="1"/>
        <v>101.88</v>
      </c>
      <c r="I56" s="46">
        <f t="shared" si="1"/>
        <v>70.649999999999991</v>
      </c>
    </row>
    <row r="57" spans="2:9" ht="15" customHeight="1">
      <c r="B57" s="80">
        <v>10</v>
      </c>
      <c r="C57" s="45">
        <f t="shared" si="7"/>
        <v>27.3</v>
      </c>
      <c r="D57" s="45">
        <f t="shared" si="1"/>
        <v>89.5</v>
      </c>
      <c r="E57" s="45">
        <f t="shared" si="1"/>
        <v>85.5</v>
      </c>
      <c r="F57" s="45">
        <f t="shared" si="1"/>
        <v>88.5</v>
      </c>
      <c r="G57" s="45">
        <f t="shared" si="1"/>
        <v>71.7</v>
      </c>
      <c r="H57" s="45">
        <f t="shared" si="1"/>
        <v>113.2</v>
      </c>
      <c r="I57" s="46">
        <f t="shared" si="1"/>
        <v>78.5</v>
      </c>
    </row>
    <row r="58" spans="2:9" ht="15" customHeight="1">
      <c r="B58" s="80">
        <v>11</v>
      </c>
      <c r="C58" s="45">
        <f t="shared" si="7"/>
        <v>30.03</v>
      </c>
      <c r="D58" s="45">
        <f t="shared" si="1"/>
        <v>98.449999999999989</v>
      </c>
      <c r="E58" s="45">
        <f t="shared" si="1"/>
        <v>94.050000000000011</v>
      </c>
      <c r="F58" s="45">
        <f t="shared" si="1"/>
        <v>97.35</v>
      </c>
      <c r="G58" s="45">
        <f t="shared" si="1"/>
        <v>78.87</v>
      </c>
      <c r="H58" s="45">
        <f t="shared" si="1"/>
        <v>124.52000000000001</v>
      </c>
      <c r="I58" s="46">
        <f t="shared" si="1"/>
        <v>86.35</v>
      </c>
    </row>
    <row r="59" spans="2:9" ht="15" customHeight="1">
      <c r="B59" s="80">
        <v>12</v>
      </c>
      <c r="C59" s="45">
        <f t="shared" si="7"/>
        <v>32.76</v>
      </c>
      <c r="D59" s="45">
        <f t="shared" si="1"/>
        <v>107.39999999999999</v>
      </c>
      <c r="E59" s="45">
        <f t="shared" si="1"/>
        <v>102.60000000000001</v>
      </c>
      <c r="F59" s="45">
        <f t="shared" si="1"/>
        <v>106.19999999999999</v>
      </c>
      <c r="G59" s="45">
        <f t="shared" si="1"/>
        <v>86.039999999999992</v>
      </c>
      <c r="H59" s="45">
        <f t="shared" si="1"/>
        <v>135.84</v>
      </c>
      <c r="I59" s="46">
        <f t="shared" si="1"/>
        <v>94.199999999999989</v>
      </c>
    </row>
    <row r="60" spans="2:9" ht="15" customHeight="1">
      <c r="B60" s="80">
        <v>13</v>
      </c>
      <c r="C60" s="45">
        <f t="shared" si="7"/>
        <v>35.49</v>
      </c>
      <c r="D60" s="45">
        <f t="shared" si="1"/>
        <v>116.35</v>
      </c>
      <c r="E60" s="45">
        <f t="shared" si="1"/>
        <v>111.15</v>
      </c>
      <c r="F60" s="45">
        <f t="shared" si="1"/>
        <v>115.05</v>
      </c>
      <c r="G60" s="45">
        <f t="shared" si="1"/>
        <v>93.21</v>
      </c>
      <c r="H60" s="45">
        <f t="shared" si="1"/>
        <v>147.16</v>
      </c>
      <c r="I60" s="46">
        <f t="shared" si="1"/>
        <v>102.05</v>
      </c>
    </row>
    <row r="61" spans="2:9" ht="15" customHeight="1">
      <c r="B61" s="80">
        <v>14</v>
      </c>
      <c r="C61" s="45">
        <f t="shared" si="7"/>
        <v>38.22</v>
      </c>
      <c r="D61" s="45">
        <f t="shared" ref="D61:I72" si="9">$B61*D$3</f>
        <v>125.29999999999998</v>
      </c>
      <c r="E61" s="45">
        <f t="shared" si="9"/>
        <v>119.70000000000002</v>
      </c>
      <c r="F61" s="45">
        <f t="shared" si="9"/>
        <v>123.89999999999999</v>
      </c>
      <c r="G61" s="45">
        <f t="shared" si="9"/>
        <v>100.38</v>
      </c>
      <c r="H61" s="45">
        <f t="shared" si="9"/>
        <v>158.48000000000002</v>
      </c>
      <c r="I61" s="46">
        <f t="shared" si="9"/>
        <v>109.89999999999999</v>
      </c>
    </row>
    <row r="62" spans="2:9" ht="15" customHeight="1">
      <c r="B62" s="80">
        <v>15</v>
      </c>
      <c r="C62" s="45">
        <f t="shared" si="7"/>
        <v>40.950000000000003</v>
      </c>
      <c r="D62" s="45">
        <f t="shared" si="9"/>
        <v>134.25</v>
      </c>
      <c r="E62" s="45">
        <f t="shared" si="9"/>
        <v>128.25</v>
      </c>
      <c r="F62" s="45">
        <f t="shared" si="9"/>
        <v>132.75</v>
      </c>
      <c r="G62" s="45">
        <f t="shared" si="9"/>
        <v>107.55</v>
      </c>
      <c r="H62" s="45">
        <f t="shared" si="9"/>
        <v>169.8</v>
      </c>
      <c r="I62" s="46">
        <f t="shared" si="9"/>
        <v>117.75</v>
      </c>
    </row>
    <row r="63" spans="2:9" ht="15" customHeight="1">
      <c r="B63" s="80">
        <v>16</v>
      </c>
      <c r="C63" s="45">
        <f t="shared" si="7"/>
        <v>43.68</v>
      </c>
      <c r="D63" s="45">
        <f t="shared" si="9"/>
        <v>143.19999999999999</v>
      </c>
      <c r="E63" s="45">
        <f t="shared" si="9"/>
        <v>136.80000000000001</v>
      </c>
      <c r="F63" s="45">
        <f t="shared" si="9"/>
        <v>141.6</v>
      </c>
      <c r="G63" s="45">
        <f t="shared" si="9"/>
        <v>114.72</v>
      </c>
      <c r="H63" s="45">
        <f t="shared" si="9"/>
        <v>181.12</v>
      </c>
      <c r="I63" s="46">
        <f t="shared" si="9"/>
        <v>125.6</v>
      </c>
    </row>
    <row r="64" spans="2:9" ht="15" customHeight="1">
      <c r="B64" s="80">
        <v>17</v>
      </c>
      <c r="C64" s="45">
        <f t="shared" si="7"/>
        <v>46.41</v>
      </c>
      <c r="D64" s="45">
        <f t="shared" si="9"/>
        <v>152.14999999999998</v>
      </c>
      <c r="E64" s="45">
        <f t="shared" si="9"/>
        <v>145.35000000000002</v>
      </c>
      <c r="F64" s="45">
        <f t="shared" si="9"/>
        <v>150.44999999999999</v>
      </c>
      <c r="G64" s="45">
        <f t="shared" si="9"/>
        <v>121.89</v>
      </c>
      <c r="H64" s="45">
        <f t="shared" si="9"/>
        <v>192.44</v>
      </c>
      <c r="I64" s="46">
        <f t="shared" si="9"/>
        <v>133.44999999999999</v>
      </c>
    </row>
    <row r="65" spans="2:9" ht="15" customHeight="1">
      <c r="B65" s="80">
        <v>18</v>
      </c>
      <c r="C65" s="45">
        <f t="shared" si="7"/>
        <v>49.14</v>
      </c>
      <c r="D65" s="45">
        <f t="shared" si="9"/>
        <v>161.1</v>
      </c>
      <c r="E65" s="45">
        <f t="shared" si="9"/>
        <v>153.9</v>
      </c>
      <c r="F65" s="45">
        <f t="shared" si="9"/>
        <v>159.29999999999998</v>
      </c>
      <c r="G65" s="45">
        <f t="shared" si="9"/>
        <v>129.06</v>
      </c>
      <c r="H65" s="45">
        <f t="shared" si="9"/>
        <v>203.76</v>
      </c>
      <c r="I65" s="46">
        <f t="shared" si="9"/>
        <v>141.29999999999998</v>
      </c>
    </row>
    <row r="66" spans="2:9" ht="15" customHeight="1">
      <c r="B66" s="80">
        <v>19</v>
      </c>
      <c r="C66" s="45">
        <f t="shared" si="7"/>
        <v>51.87</v>
      </c>
      <c r="D66" s="45">
        <f t="shared" si="9"/>
        <v>170.04999999999998</v>
      </c>
      <c r="E66" s="45">
        <f t="shared" si="9"/>
        <v>162.45000000000002</v>
      </c>
      <c r="F66" s="45">
        <f t="shared" si="9"/>
        <v>168.15</v>
      </c>
      <c r="G66" s="45">
        <f t="shared" si="9"/>
        <v>136.22999999999999</v>
      </c>
      <c r="H66" s="45">
        <f t="shared" si="9"/>
        <v>215.08</v>
      </c>
      <c r="I66" s="46">
        <f t="shared" si="9"/>
        <v>149.15</v>
      </c>
    </row>
    <row r="67" spans="2:9" ht="15" customHeight="1">
      <c r="B67" s="80">
        <v>20</v>
      </c>
      <c r="C67" s="45">
        <f t="shared" si="7"/>
        <v>54.6</v>
      </c>
      <c r="D67" s="45">
        <f t="shared" si="9"/>
        <v>179</v>
      </c>
      <c r="E67" s="45">
        <f t="shared" si="9"/>
        <v>171</v>
      </c>
      <c r="F67" s="45">
        <f t="shared" si="9"/>
        <v>177</v>
      </c>
      <c r="G67" s="45">
        <f t="shared" si="9"/>
        <v>143.4</v>
      </c>
      <c r="H67" s="45">
        <f t="shared" si="9"/>
        <v>226.4</v>
      </c>
      <c r="I67" s="46">
        <f t="shared" si="9"/>
        <v>157</v>
      </c>
    </row>
    <row r="68" spans="2:9" ht="15" customHeight="1">
      <c r="B68" s="80">
        <v>21</v>
      </c>
      <c r="C68" s="45">
        <f t="shared" si="7"/>
        <v>57.33</v>
      </c>
      <c r="D68" s="45">
        <f t="shared" si="9"/>
        <v>187.95</v>
      </c>
      <c r="E68" s="45">
        <f t="shared" si="9"/>
        <v>179.55</v>
      </c>
      <c r="F68" s="45">
        <f t="shared" si="9"/>
        <v>185.85</v>
      </c>
      <c r="G68" s="45">
        <f t="shared" si="9"/>
        <v>150.57</v>
      </c>
      <c r="H68" s="45">
        <f t="shared" si="9"/>
        <v>237.72</v>
      </c>
      <c r="I68" s="46">
        <f t="shared" si="9"/>
        <v>164.85</v>
      </c>
    </row>
    <row r="69" spans="2:9" ht="15" customHeight="1">
      <c r="B69" s="80">
        <v>22</v>
      </c>
      <c r="C69" s="45">
        <f t="shared" si="7"/>
        <v>60.06</v>
      </c>
      <c r="D69" s="45">
        <f t="shared" si="9"/>
        <v>196.89999999999998</v>
      </c>
      <c r="E69" s="45">
        <f t="shared" si="9"/>
        <v>188.10000000000002</v>
      </c>
      <c r="F69" s="45">
        <f t="shared" si="9"/>
        <v>194.7</v>
      </c>
      <c r="G69" s="45">
        <f t="shared" si="9"/>
        <v>157.74</v>
      </c>
      <c r="H69" s="45">
        <f t="shared" si="9"/>
        <v>249.04000000000002</v>
      </c>
      <c r="I69" s="46">
        <f t="shared" si="9"/>
        <v>172.7</v>
      </c>
    </row>
    <row r="70" spans="2:9" ht="15" customHeight="1">
      <c r="B70" s="80">
        <v>23</v>
      </c>
      <c r="C70" s="45">
        <f t="shared" si="7"/>
        <v>62.79</v>
      </c>
      <c r="D70" s="45">
        <f t="shared" si="9"/>
        <v>205.85</v>
      </c>
      <c r="E70" s="45">
        <f t="shared" si="9"/>
        <v>196.65</v>
      </c>
      <c r="F70" s="45">
        <f t="shared" si="9"/>
        <v>203.54999999999998</v>
      </c>
      <c r="G70" s="45">
        <f t="shared" si="9"/>
        <v>164.91</v>
      </c>
      <c r="H70" s="45">
        <f t="shared" si="9"/>
        <v>260.36</v>
      </c>
      <c r="I70" s="46">
        <f t="shared" si="9"/>
        <v>180.54999999999998</v>
      </c>
    </row>
    <row r="71" spans="2:9" ht="15" customHeight="1">
      <c r="B71" s="80">
        <v>24</v>
      </c>
      <c r="C71" s="45">
        <f t="shared" si="7"/>
        <v>65.52</v>
      </c>
      <c r="D71" s="45">
        <f t="shared" si="9"/>
        <v>214.79999999999998</v>
      </c>
      <c r="E71" s="45">
        <f t="shared" si="9"/>
        <v>205.20000000000002</v>
      </c>
      <c r="F71" s="45">
        <f t="shared" si="9"/>
        <v>212.39999999999998</v>
      </c>
      <c r="G71" s="45">
        <f t="shared" si="9"/>
        <v>172.07999999999998</v>
      </c>
      <c r="H71" s="45">
        <f t="shared" si="9"/>
        <v>271.68</v>
      </c>
      <c r="I71" s="46">
        <f t="shared" si="9"/>
        <v>188.39999999999998</v>
      </c>
    </row>
    <row r="72" spans="2:9" ht="15" customHeight="1" thickBot="1">
      <c r="B72" s="81">
        <v>25</v>
      </c>
      <c r="C72" s="72">
        <f t="shared" si="7"/>
        <v>68.25</v>
      </c>
      <c r="D72" s="72">
        <f t="shared" si="9"/>
        <v>223.74999999999997</v>
      </c>
      <c r="E72" s="72">
        <f t="shared" si="9"/>
        <v>213.75000000000003</v>
      </c>
      <c r="F72" s="72">
        <f t="shared" si="9"/>
        <v>221.25</v>
      </c>
      <c r="G72" s="72">
        <f t="shared" si="9"/>
        <v>179.25</v>
      </c>
      <c r="H72" s="72">
        <f t="shared" si="9"/>
        <v>283</v>
      </c>
      <c r="I72" s="73">
        <f t="shared" si="9"/>
        <v>196.25</v>
      </c>
    </row>
    <row r="73" spans="2:9" ht="15" customHeight="1" thickTop="1"/>
    <row r="74" spans="2:9" ht="15" customHeight="1"/>
    <row r="75" spans="2:9" ht="15" customHeight="1"/>
    <row r="76" spans="2:9" ht="15" customHeight="1"/>
    <row r="77" spans="2:9" ht="15" customHeight="1"/>
    <row r="78" spans="2:9" ht="15" customHeight="1"/>
  </sheetData>
  <customSheetViews>
    <customSheetView guid="{C0BE45DA-73C0-4B1E-ABFB-A0FAB57D4E46}" showGridLines="0" showRuler="0">
      <pane xSplit="1" ySplit="4" topLeftCell="B5" activePane="bottomRight" state="frozen"/>
      <selection pane="bottomRight" activeCell="L10" sqref="L10"/>
      <pageMargins left="0.75" right="0.75" top="1" bottom="1" header="0.5" footer="0.5"/>
      <pageSetup paperSize="9" orientation="portrait" horizontalDpi="4294967293" verticalDpi="0" r:id="rId1"/>
      <headerFooter alignWithMargins="0"/>
    </customSheetView>
  </customSheetViews>
  <mergeCells count="1">
    <mergeCell ref="B1:I1"/>
  </mergeCells>
  <phoneticPr fontId="2" type="noConversion"/>
  <pageMargins left="0.94488188976377963" right="0.35433070866141736" top="0.98425196850393704" bottom="0.39370078740157483" header="0.51181102362204722" footer="0.51181102362204722"/>
  <pageSetup paperSize="9" scale="64" orientation="portrait" horizontalDpi="4294967293" verticalDpi="0"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0"/>
  </sheetPr>
  <dimension ref="B1:R75"/>
  <sheetViews>
    <sheetView showGridLines="0" topLeftCell="D1" workbookViewId="0">
      <selection activeCell="L47" sqref="L47"/>
    </sheetView>
  </sheetViews>
  <sheetFormatPr defaultColWidth="9.109375" defaultRowHeight="13.2"/>
  <cols>
    <col min="1" max="1" width="2.6640625" style="43" customWidth="1"/>
    <col min="2" max="18" width="10.6640625" style="43" customWidth="1"/>
    <col min="19" max="19" width="12.6640625" style="43" customWidth="1"/>
    <col min="20" max="16384" width="9.109375" style="43"/>
  </cols>
  <sheetData>
    <row r="1" spans="2:18" ht="30" customHeight="1" thickBot="1">
      <c r="B1" s="515" t="s">
        <v>552</v>
      </c>
      <c r="C1" s="515"/>
      <c r="D1" s="165"/>
      <c r="E1" s="515" t="s">
        <v>553</v>
      </c>
      <c r="F1" s="515"/>
      <c r="G1" s="165"/>
      <c r="H1" s="515" t="s">
        <v>554</v>
      </c>
      <c r="I1" s="515"/>
      <c r="J1" s="165"/>
      <c r="K1" s="515" t="s">
        <v>555</v>
      </c>
      <c r="L1" s="515"/>
      <c r="M1" s="165"/>
      <c r="N1" s="532" t="s">
        <v>556</v>
      </c>
      <c r="O1" s="532"/>
      <c r="Q1" s="532" t="s">
        <v>557</v>
      </c>
      <c r="R1" s="532"/>
    </row>
    <row r="2" spans="2:18" ht="15" customHeight="1" thickTop="1">
      <c r="B2" s="163" t="s">
        <v>549</v>
      </c>
      <c r="C2" s="63" t="s">
        <v>551</v>
      </c>
      <c r="E2" s="163" t="s">
        <v>549</v>
      </c>
      <c r="F2" s="63" t="s">
        <v>551</v>
      </c>
      <c r="H2" s="163" t="s">
        <v>549</v>
      </c>
      <c r="I2" s="63" t="s">
        <v>551</v>
      </c>
      <c r="K2" s="163" t="s">
        <v>549</v>
      </c>
      <c r="L2" s="63" t="s">
        <v>551</v>
      </c>
      <c r="N2" s="163" t="s">
        <v>549</v>
      </c>
      <c r="O2" s="63" t="s">
        <v>551</v>
      </c>
      <c r="Q2" s="163" t="s">
        <v>549</v>
      </c>
      <c r="R2" s="63" t="s">
        <v>551</v>
      </c>
    </row>
    <row r="3" spans="2:18" ht="15" customHeight="1">
      <c r="B3" s="14" t="s">
        <v>22</v>
      </c>
      <c r="C3" s="164" t="s">
        <v>321</v>
      </c>
      <c r="E3" s="14" t="s">
        <v>22</v>
      </c>
      <c r="F3" s="164" t="s">
        <v>321</v>
      </c>
      <c r="H3" s="14" t="s">
        <v>22</v>
      </c>
      <c r="I3" s="164" t="s">
        <v>321</v>
      </c>
      <c r="K3" s="14" t="s">
        <v>22</v>
      </c>
      <c r="L3" s="164" t="s">
        <v>321</v>
      </c>
      <c r="N3" s="14" t="s">
        <v>22</v>
      </c>
      <c r="O3" s="164" t="s">
        <v>321</v>
      </c>
      <c r="Q3" s="14" t="s">
        <v>22</v>
      </c>
      <c r="R3" s="164" t="s">
        <v>321</v>
      </c>
    </row>
    <row r="4" spans="2:18" ht="15" customHeight="1">
      <c r="B4" s="80">
        <v>0.5</v>
      </c>
      <c r="C4" s="102">
        <v>4.5</v>
      </c>
      <c r="E4" s="80">
        <v>1.5</v>
      </c>
      <c r="F4" s="102">
        <v>17.100000000000001</v>
      </c>
      <c r="H4" s="80">
        <v>0.5</v>
      </c>
      <c r="I4" s="102">
        <v>1.76</v>
      </c>
      <c r="K4" s="80">
        <v>0.5</v>
      </c>
      <c r="L4" s="102">
        <v>1.36</v>
      </c>
      <c r="N4" s="80">
        <v>0.5</v>
      </c>
      <c r="O4" s="102">
        <v>1.47</v>
      </c>
      <c r="Q4" s="80">
        <v>0.5</v>
      </c>
      <c r="R4" s="46">
        <v>1.6379999999999999</v>
      </c>
    </row>
    <row r="5" spans="2:18" ht="15" customHeight="1">
      <c r="B5" s="80">
        <v>0.56000000000000005</v>
      </c>
      <c r="C5" s="102">
        <v>5</v>
      </c>
      <c r="E5" s="80">
        <v>1.75</v>
      </c>
      <c r="F5" s="102">
        <v>20</v>
      </c>
      <c r="H5" s="80">
        <v>0.6</v>
      </c>
      <c r="I5" s="102">
        <v>2.11</v>
      </c>
      <c r="K5" s="80">
        <v>0.56000000000000005</v>
      </c>
      <c r="L5" s="102">
        <v>1.51</v>
      </c>
      <c r="N5" s="80">
        <v>0.6</v>
      </c>
      <c r="O5" s="102">
        <v>1.76</v>
      </c>
      <c r="Q5" s="80">
        <v>0.6</v>
      </c>
      <c r="R5" s="46">
        <v>1.9650000000000001</v>
      </c>
    </row>
    <row r="6" spans="2:18" ht="15" customHeight="1">
      <c r="B6" s="80">
        <v>0.61</v>
      </c>
      <c r="C6" s="102">
        <v>5.5</v>
      </c>
      <c r="E6" s="80">
        <v>2</v>
      </c>
      <c r="F6" s="102">
        <v>22.8</v>
      </c>
      <c r="H6" s="80">
        <v>0.7</v>
      </c>
      <c r="I6" s="102">
        <v>2.46</v>
      </c>
      <c r="K6" s="80">
        <v>0.6</v>
      </c>
      <c r="L6" s="102">
        <v>1.62</v>
      </c>
      <c r="N6" s="80">
        <v>0.7</v>
      </c>
      <c r="O6" s="102">
        <v>2.06</v>
      </c>
      <c r="Q6" s="80">
        <v>0.7</v>
      </c>
      <c r="R6" s="46">
        <v>2.2930000000000001</v>
      </c>
    </row>
    <row r="7" spans="2:18" ht="15" customHeight="1">
      <c r="B7" s="80">
        <v>0.66</v>
      </c>
      <c r="C7" s="102">
        <v>6</v>
      </c>
      <c r="E7" s="80">
        <v>2.25</v>
      </c>
      <c r="F7" s="102">
        <v>25.6</v>
      </c>
      <c r="H7" s="80">
        <v>0.9</v>
      </c>
      <c r="I7" s="102">
        <v>3.16</v>
      </c>
      <c r="K7" s="80">
        <v>0.7</v>
      </c>
      <c r="L7" s="102">
        <v>1.89</v>
      </c>
      <c r="N7" s="80">
        <v>0.9</v>
      </c>
      <c r="O7" s="102">
        <v>2.65</v>
      </c>
      <c r="Q7" s="80">
        <v>0.9</v>
      </c>
      <c r="R7" s="46">
        <v>2.948</v>
      </c>
    </row>
    <row r="8" spans="2:18" ht="15" customHeight="1">
      <c r="B8" s="80">
        <v>0.72</v>
      </c>
      <c r="C8" s="102">
        <v>6.5</v>
      </c>
      <c r="E8" s="80">
        <v>2.5</v>
      </c>
      <c r="F8" s="102">
        <v>28.5</v>
      </c>
      <c r="H8" s="80">
        <v>1</v>
      </c>
      <c r="I8" s="102">
        <v>3.51</v>
      </c>
      <c r="K8" s="80">
        <v>0.9</v>
      </c>
      <c r="L8" s="102">
        <v>2.4300000000000002</v>
      </c>
      <c r="N8" s="80">
        <v>1</v>
      </c>
      <c r="O8" s="102">
        <v>2.95</v>
      </c>
      <c r="Q8" s="80">
        <v>1</v>
      </c>
      <c r="R8" s="46">
        <v>3.2759999999999998</v>
      </c>
    </row>
    <row r="9" spans="2:18" ht="15" customHeight="1">
      <c r="B9" s="80">
        <v>0.78</v>
      </c>
      <c r="C9" s="102">
        <v>7</v>
      </c>
      <c r="E9" s="80">
        <v>2.75</v>
      </c>
      <c r="F9" s="102">
        <v>31.13</v>
      </c>
      <c r="H9" s="80">
        <v>1.2</v>
      </c>
      <c r="I9" s="102">
        <v>4.22</v>
      </c>
      <c r="K9" s="80">
        <v>1</v>
      </c>
      <c r="L9" s="102">
        <v>2.7</v>
      </c>
      <c r="N9" s="80"/>
      <c r="O9" s="102"/>
      <c r="Q9" s="80">
        <v>1.2</v>
      </c>
      <c r="R9" s="46">
        <v>3.931</v>
      </c>
    </row>
    <row r="10" spans="2:18" ht="15" customHeight="1">
      <c r="B10" s="80">
        <v>0.83</v>
      </c>
      <c r="C10" s="102">
        <v>7.5</v>
      </c>
      <c r="E10" s="80">
        <v>3</v>
      </c>
      <c r="F10" s="102">
        <v>34.200000000000003</v>
      </c>
      <c r="H10" s="80"/>
      <c r="I10" s="102"/>
      <c r="K10" s="80">
        <v>1.2</v>
      </c>
      <c r="L10" s="102">
        <v>3.24</v>
      </c>
      <c r="N10" s="80"/>
      <c r="O10" s="102"/>
      <c r="Q10" s="80"/>
      <c r="R10" s="46"/>
    </row>
    <row r="11" spans="2:18" ht="15" customHeight="1">
      <c r="B11" s="80">
        <v>0.88</v>
      </c>
      <c r="C11" s="102">
        <v>8</v>
      </c>
      <c r="E11" s="80"/>
      <c r="F11" s="102"/>
      <c r="H11" s="80"/>
      <c r="I11" s="102"/>
      <c r="K11" s="80"/>
      <c r="L11" s="102"/>
      <c r="N11" s="80"/>
      <c r="O11" s="102"/>
      <c r="Q11" s="80"/>
      <c r="R11" s="46"/>
    </row>
    <row r="12" spans="2:18" ht="15" customHeight="1">
      <c r="B12" s="80">
        <v>0.94</v>
      </c>
      <c r="C12" s="102">
        <v>8.5</v>
      </c>
      <c r="E12" s="80"/>
      <c r="F12" s="102"/>
      <c r="H12" s="80"/>
      <c r="I12" s="102"/>
      <c r="K12" s="80"/>
      <c r="L12" s="102"/>
      <c r="N12" s="80"/>
      <c r="O12" s="102"/>
      <c r="Q12" s="80"/>
      <c r="R12" s="46"/>
    </row>
    <row r="13" spans="2:18" ht="15" customHeight="1">
      <c r="B13" s="80">
        <v>1</v>
      </c>
      <c r="C13" s="102">
        <v>9</v>
      </c>
      <c r="E13" s="80"/>
      <c r="F13" s="102"/>
      <c r="H13" s="80"/>
      <c r="I13" s="102"/>
      <c r="K13" s="80"/>
      <c r="L13" s="102"/>
      <c r="N13" s="80"/>
      <c r="O13" s="102"/>
      <c r="Q13" s="80"/>
      <c r="R13" s="46"/>
    </row>
    <row r="14" spans="2:18" ht="15" customHeight="1" thickBot="1">
      <c r="B14" s="81"/>
      <c r="C14" s="104"/>
      <c r="E14" s="81"/>
      <c r="F14" s="104"/>
      <c r="H14" s="81"/>
      <c r="I14" s="104"/>
      <c r="K14" s="81"/>
      <c r="L14" s="104"/>
      <c r="N14" s="81"/>
      <c r="O14" s="104"/>
      <c r="Q14" s="81"/>
      <c r="R14" s="73"/>
    </row>
    <row r="15" spans="2:18" ht="15" customHeight="1" thickTop="1">
      <c r="B15" s="86"/>
      <c r="C15" s="86"/>
      <c r="D15" s="86"/>
      <c r="E15" s="86"/>
      <c r="F15" s="86"/>
      <c r="G15" s="86"/>
    </row>
    <row r="16" spans="2:18" ht="15" customHeight="1" thickBot="1">
      <c r="B16" s="515" t="s">
        <v>547</v>
      </c>
      <c r="C16" s="515"/>
      <c r="D16" s="515"/>
      <c r="E16" s="166"/>
      <c r="F16" s="516" t="s">
        <v>558</v>
      </c>
      <c r="G16" s="516"/>
      <c r="H16" s="516"/>
      <c r="I16" s="516"/>
    </row>
    <row r="17" spans="2:18" ht="15" customHeight="1" thickTop="1">
      <c r="B17" s="533" t="s">
        <v>548</v>
      </c>
      <c r="C17" s="59" t="s">
        <v>549</v>
      </c>
      <c r="D17" s="63" t="s">
        <v>551</v>
      </c>
      <c r="E17" s="86"/>
      <c r="F17" s="163" t="s">
        <v>549</v>
      </c>
      <c r="G17" s="59" t="s">
        <v>551</v>
      </c>
      <c r="H17" s="163" t="s">
        <v>549</v>
      </c>
      <c r="I17" s="63" t="s">
        <v>551</v>
      </c>
    </row>
    <row r="18" spans="2:18" ht="15" customHeight="1">
      <c r="B18" s="466"/>
      <c r="C18" s="65" t="s">
        <v>550</v>
      </c>
      <c r="D18" s="164" t="s">
        <v>321</v>
      </c>
      <c r="E18" s="86"/>
      <c r="F18" s="14" t="s">
        <v>559</v>
      </c>
      <c r="G18" s="65" t="s">
        <v>321</v>
      </c>
      <c r="H18" s="14" t="s">
        <v>559</v>
      </c>
      <c r="I18" s="164" t="s">
        <v>321</v>
      </c>
    </row>
    <row r="19" spans="2:18" ht="15" customHeight="1">
      <c r="B19" s="14">
        <v>10</v>
      </c>
      <c r="C19" s="40">
        <v>0.5</v>
      </c>
      <c r="D19" s="102">
        <f>C19*7.17</f>
        <v>3.585</v>
      </c>
      <c r="E19" s="86"/>
      <c r="F19" s="80">
        <v>0.5</v>
      </c>
      <c r="G19" s="40">
        <f>F19*7.85</f>
        <v>3.9249999999999998</v>
      </c>
      <c r="H19" s="80">
        <v>3.5</v>
      </c>
      <c r="I19" s="102">
        <f>H19*7.85</f>
        <v>27.474999999999998</v>
      </c>
    </row>
    <row r="20" spans="2:18" ht="15" customHeight="1">
      <c r="B20" s="14">
        <v>11</v>
      </c>
      <c r="C20" s="40">
        <v>0.57999999999999996</v>
      </c>
      <c r="D20" s="102">
        <f>C20*7.17</f>
        <v>4.1585999999999999</v>
      </c>
      <c r="E20" s="86"/>
      <c r="F20" s="80">
        <v>0.6</v>
      </c>
      <c r="G20" s="40">
        <f t="shared" ref="G20:G29" si="0">F20*7.85</f>
        <v>4.71</v>
      </c>
      <c r="H20" s="80">
        <v>4</v>
      </c>
      <c r="I20" s="102">
        <f t="shared" ref="I20:I29" si="1">H20*7.85</f>
        <v>31.4</v>
      </c>
    </row>
    <row r="21" spans="2:18" ht="15" customHeight="1">
      <c r="B21" s="14">
        <v>12</v>
      </c>
      <c r="C21" s="40">
        <v>0.66</v>
      </c>
      <c r="D21" s="102">
        <f t="shared" ref="D21:D29" si="2">C21*7</f>
        <v>4.62</v>
      </c>
      <c r="E21" s="86"/>
      <c r="F21" s="80">
        <v>0.7</v>
      </c>
      <c r="G21" s="40">
        <f t="shared" si="0"/>
        <v>5.4949999999999992</v>
      </c>
      <c r="H21" s="80">
        <v>5</v>
      </c>
      <c r="I21" s="102">
        <f t="shared" si="1"/>
        <v>39.25</v>
      </c>
    </row>
    <row r="22" spans="2:18" ht="15" customHeight="1">
      <c r="B22" s="14">
        <v>13</v>
      </c>
      <c r="C22" s="40">
        <v>0.74</v>
      </c>
      <c r="D22" s="102">
        <f t="shared" si="2"/>
        <v>5.18</v>
      </c>
      <c r="E22" s="86"/>
      <c r="F22" s="80">
        <v>0.75</v>
      </c>
      <c r="G22" s="40">
        <f t="shared" si="0"/>
        <v>5.8874999999999993</v>
      </c>
      <c r="H22" s="80">
        <v>6</v>
      </c>
      <c r="I22" s="102">
        <f t="shared" si="1"/>
        <v>47.099999999999994</v>
      </c>
    </row>
    <row r="23" spans="2:18" ht="15" customHeight="1">
      <c r="B23" s="14">
        <v>14</v>
      </c>
      <c r="C23" s="40">
        <v>0.82</v>
      </c>
      <c r="D23" s="102">
        <f t="shared" si="2"/>
        <v>5.7399999999999993</v>
      </c>
      <c r="F23" s="80">
        <v>0.9</v>
      </c>
      <c r="G23" s="40">
        <f t="shared" si="0"/>
        <v>7.0649999999999995</v>
      </c>
      <c r="H23" s="80">
        <v>7</v>
      </c>
      <c r="I23" s="102">
        <f t="shared" si="1"/>
        <v>54.949999999999996</v>
      </c>
    </row>
    <row r="24" spans="2:18" ht="15" customHeight="1">
      <c r="B24" s="14">
        <v>15</v>
      </c>
      <c r="C24" s="40">
        <v>0.95</v>
      </c>
      <c r="D24" s="102">
        <f t="shared" si="2"/>
        <v>6.6499999999999995</v>
      </c>
      <c r="F24" s="80">
        <v>1</v>
      </c>
      <c r="G24" s="40">
        <f t="shared" si="0"/>
        <v>7.85</v>
      </c>
      <c r="H24" s="80">
        <v>8</v>
      </c>
      <c r="I24" s="102">
        <f t="shared" si="1"/>
        <v>62.8</v>
      </c>
    </row>
    <row r="25" spans="2:18" ht="15" customHeight="1">
      <c r="B25" s="14">
        <v>16</v>
      </c>
      <c r="C25" s="40">
        <v>1.08</v>
      </c>
      <c r="D25" s="102">
        <f t="shared" si="2"/>
        <v>7.5600000000000005</v>
      </c>
      <c r="F25" s="80">
        <v>1.2</v>
      </c>
      <c r="G25" s="40">
        <f t="shared" si="0"/>
        <v>9.42</v>
      </c>
      <c r="H25" s="80">
        <v>9</v>
      </c>
      <c r="I25" s="102">
        <f t="shared" si="1"/>
        <v>70.649999999999991</v>
      </c>
    </row>
    <row r="26" spans="2:18" ht="15" customHeight="1">
      <c r="B26" s="14">
        <v>17</v>
      </c>
      <c r="C26" s="40">
        <v>1.21</v>
      </c>
      <c r="D26" s="102">
        <f t="shared" si="2"/>
        <v>8.4699999999999989</v>
      </c>
      <c r="F26" s="80">
        <v>1.5</v>
      </c>
      <c r="G26" s="40">
        <f t="shared" si="0"/>
        <v>11.774999999999999</v>
      </c>
      <c r="H26" s="80">
        <v>10</v>
      </c>
      <c r="I26" s="102">
        <f t="shared" si="1"/>
        <v>78.5</v>
      </c>
    </row>
    <row r="27" spans="2:18" ht="15" customHeight="1">
      <c r="B27" s="14">
        <v>18</v>
      </c>
      <c r="C27" s="40">
        <v>1.34</v>
      </c>
      <c r="D27" s="102">
        <f t="shared" si="2"/>
        <v>9.3800000000000008</v>
      </c>
      <c r="F27" s="80">
        <v>2</v>
      </c>
      <c r="G27" s="40">
        <f t="shared" si="0"/>
        <v>15.7</v>
      </c>
      <c r="H27" s="80">
        <v>12</v>
      </c>
      <c r="I27" s="102">
        <f t="shared" si="1"/>
        <v>94.199999999999989</v>
      </c>
    </row>
    <row r="28" spans="2:18" ht="15" customHeight="1">
      <c r="B28" s="14">
        <v>19</v>
      </c>
      <c r="C28" s="40">
        <v>1.47</v>
      </c>
      <c r="D28" s="102">
        <f t="shared" si="2"/>
        <v>10.29</v>
      </c>
      <c r="F28" s="80">
        <v>2.5</v>
      </c>
      <c r="G28" s="40">
        <f t="shared" si="0"/>
        <v>19.625</v>
      </c>
      <c r="H28" s="80">
        <v>15</v>
      </c>
      <c r="I28" s="102">
        <f t="shared" si="1"/>
        <v>117.75</v>
      </c>
    </row>
    <row r="29" spans="2:18" ht="15" customHeight="1" thickBot="1">
      <c r="B29" s="58">
        <v>20</v>
      </c>
      <c r="C29" s="42">
        <v>1.6</v>
      </c>
      <c r="D29" s="104">
        <f t="shared" si="2"/>
        <v>11.200000000000001</v>
      </c>
      <c r="F29" s="81">
        <v>3</v>
      </c>
      <c r="G29" s="42">
        <f t="shared" si="0"/>
        <v>23.549999999999997</v>
      </c>
      <c r="H29" s="81">
        <v>20</v>
      </c>
      <c r="I29" s="104">
        <f t="shared" si="1"/>
        <v>157</v>
      </c>
    </row>
    <row r="30" spans="2:18" ht="15" customHeight="1" thickTop="1"/>
    <row r="31" spans="2:18" ht="15" customHeight="1" thickBot="1">
      <c r="B31" s="510" t="s">
        <v>560</v>
      </c>
      <c r="C31" s="510"/>
      <c r="D31" s="510"/>
      <c r="E31" s="510"/>
      <c r="F31" s="510"/>
      <c r="G31" s="510"/>
      <c r="H31" s="510"/>
      <c r="I31" s="120"/>
      <c r="K31" s="510" t="s">
        <v>568</v>
      </c>
      <c r="L31" s="510"/>
      <c r="M31" s="510"/>
      <c r="N31" s="510"/>
      <c r="O31" s="510"/>
      <c r="P31" s="510"/>
      <c r="Q31" s="510"/>
    </row>
    <row r="32" spans="2:18" ht="30" customHeight="1" thickTop="1">
      <c r="B32" s="523" t="s">
        <v>577</v>
      </c>
      <c r="C32" s="522"/>
      <c r="D32" s="522" t="s">
        <v>571</v>
      </c>
      <c r="E32" s="522"/>
      <c r="F32" s="522" t="s">
        <v>572</v>
      </c>
      <c r="G32" s="522"/>
      <c r="H32" s="171" t="s">
        <v>573</v>
      </c>
      <c r="I32" s="270"/>
      <c r="J32" s="168"/>
      <c r="K32" s="523" t="s">
        <v>576</v>
      </c>
      <c r="L32" s="522"/>
      <c r="M32" s="161" t="s">
        <v>569</v>
      </c>
      <c r="N32" s="161" t="s">
        <v>574</v>
      </c>
      <c r="O32" s="518" t="s">
        <v>572</v>
      </c>
      <c r="P32" s="519"/>
      <c r="Q32" s="161" t="s">
        <v>575</v>
      </c>
      <c r="R32" s="171" t="s">
        <v>573</v>
      </c>
    </row>
    <row r="33" spans="2:18" ht="15" customHeight="1">
      <c r="B33" s="531" t="s">
        <v>570</v>
      </c>
      <c r="C33" s="525"/>
      <c r="D33" s="524" t="s">
        <v>22</v>
      </c>
      <c r="E33" s="525"/>
      <c r="F33" s="524" t="s">
        <v>22</v>
      </c>
      <c r="G33" s="525"/>
      <c r="H33" s="170" t="s">
        <v>548</v>
      </c>
      <c r="I33" s="270"/>
      <c r="J33" s="168"/>
      <c r="K33" s="526" t="s">
        <v>570</v>
      </c>
      <c r="L33" s="527"/>
      <c r="M33" s="65" t="s">
        <v>570</v>
      </c>
      <c r="N33" s="65" t="s">
        <v>22</v>
      </c>
      <c r="O33" s="520" t="s">
        <v>22</v>
      </c>
      <c r="P33" s="521"/>
      <c r="Q33" s="65" t="s">
        <v>322</v>
      </c>
      <c r="R33" s="172" t="s">
        <v>548</v>
      </c>
    </row>
    <row r="34" spans="2:18" ht="15" customHeight="1">
      <c r="B34" s="528" t="s">
        <v>561</v>
      </c>
      <c r="C34" s="517"/>
      <c r="D34" s="517">
        <v>150</v>
      </c>
      <c r="E34" s="517"/>
      <c r="F34" s="517">
        <v>550</v>
      </c>
      <c r="G34" s="517"/>
      <c r="H34" s="85">
        <v>12</v>
      </c>
      <c r="I34" s="169"/>
      <c r="J34" s="169"/>
      <c r="K34" s="528" t="s">
        <v>561</v>
      </c>
      <c r="L34" s="517"/>
      <c r="M34" s="36">
        <v>250</v>
      </c>
      <c r="N34" s="36">
        <v>240</v>
      </c>
      <c r="O34" s="513">
        <v>500</v>
      </c>
      <c r="P34" s="514"/>
      <c r="Q34" s="36">
        <v>4</v>
      </c>
      <c r="R34" s="85">
        <v>14</v>
      </c>
    </row>
    <row r="35" spans="2:18" ht="15" customHeight="1">
      <c r="B35" s="528" t="s">
        <v>562</v>
      </c>
      <c r="C35" s="517"/>
      <c r="D35" s="517">
        <v>125</v>
      </c>
      <c r="E35" s="517"/>
      <c r="F35" s="517">
        <v>500</v>
      </c>
      <c r="G35" s="517"/>
      <c r="H35" s="85" t="s">
        <v>567</v>
      </c>
      <c r="I35" s="169"/>
      <c r="J35" s="169"/>
      <c r="K35" s="528" t="s">
        <v>562</v>
      </c>
      <c r="L35" s="517"/>
      <c r="M35" s="36">
        <v>150</v>
      </c>
      <c r="N35" s="36">
        <v>185</v>
      </c>
      <c r="O35" s="513">
        <v>400</v>
      </c>
      <c r="P35" s="514"/>
      <c r="Q35" s="36">
        <v>5</v>
      </c>
      <c r="R35" s="85">
        <v>12</v>
      </c>
    </row>
    <row r="36" spans="2:18" ht="15" customHeight="1">
      <c r="B36" s="528" t="s">
        <v>563</v>
      </c>
      <c r="C36" s="517"/>
      <c r="D36" s="517">
        <v>100</v>
      </c>
      <c r="E36" s="517"/>
      <c r="F36" s="517">
        <v>400</v>
      </c>
      <c r="G36" s="517"/>
      <c r="H36" s="85" t="s">
        <v>567</v>
      </c>
      <c r="I36" s="169"/>
      <c r="J36" s="169"/>
      <c r="K36" s="528" t="s">
        <v>563</v>
      </c>
      <c r="L36" s="517"/>
      <c r="M36" s="36">
        <v>120</v>
      </c>
      <c r="N36" s="36">
        <v>155</v>
      </c>
      <c r="O36" s="513">
        <v>333</v>
      </c>
      <c r="P36" s="514"/>
      <c r="Q36" s="36">
        <v>6</v>
      </c>
      <c r="R36" s="85">
        <v>12</v>
      </c>
    </row>
    <row r="37" spans="2:18" ht="15" customHeight="1">
      <c r="B37" s="528" t="s">
        <v>564</v>
      </c>
      <c r="C37" s="517"/>
      <c r="D37" s="517">
        <v>80</v>
      </c>
      <c r="E37" s="517"/>
      <c r="F37" s="517">
        <v>333</v>
      </c>
      <c r="G37" s="517"/>
      <c r="H37" s="85">
        <v>10</v>
      </c>
      <c r="I37" s="169"/>
      <c r="J37" s="169"/>
      <c r="K37" s="528" t="s">
        <v>564</v>
      </c>
      <c r="L37" s="517"/>
      <c r="M37" s="36">
        <v>80</v>
      </c>
      <c r="N37" s="36">
        <v>130</v>
      </c>
      <c r="O37" s="513">
        <v>285</v>
      </c>
      <c r="P37" s="514"/>
      <c r="Q37" s="36">
        <v>7</v>
      </c>
      <c r="R37" s="85">
        <v>12</v>
      </c>
    </row>
    <row r="38" spans="2:18" ht="15" customHeight="1">
      <c r="B38" s="528" t="s">
        <v>565</v>
      </c>
      <c r="C38" s="517"/>
      <c r="D38" s="517">
        <v>75</v>
      </c>
      <c r="E38" s="517"/>
      <c r="F38" s="517">
        <v>285</v>
      </c>
      <c r="G38" s="517"/>
      <c r="H38" s="85">
        <v>10</v>
      </c>
      <c r="I38" s="169"/>
      <c r="J38" s="169"/>
      <c r="K38" s="528" t="s">
        <v>565</v>
      </c>
      <c r="L38" s="517"/>
      <c r="M38" s="36">
        <v>60</v>
      </c>
      <c r="N38" s="36">
        <v>110</v>
      </c>
      <c r="O38" s="513">
        <v>250</v>
      </c>
      <c r="P38" s="514"/>
      <c r="Q38" s="36">
        <v>8</v>
      </c>
      <c r="R38" s="85">
        <v>12</v>
      </c>
    </row>
    <row r="39" spans="2:18" ht="15" customHeight="1" thickBot="1">
      <c r="B39" s="529" t="s">
        <v>566</v>
      </c>
      <c r="C39" s="530"/>
      <c r="D39" s="530">
        <v>70</v>
      </c>
      <c r="E39" s="530"/>
      <c r="F39" s="530">
        <v>200</v>
      </c>
      <c r="G39" s="530"/>
      <c r="H39" s="167">
        <v>10</v>
      </c>
      <c r="I39" s="169"/>
      <c r="J39" s="169"/>
      <c r="K39" s="529" t="s">
        <v>566</v>
      </c>
      <c r="L39" s="530"/>
      <c r="M39" s="39">
        <v>45</v>
      </c>
      <c r="N39" s="39">
        <v>90</v>
      </c>
      <c r="O39" s="511">
        <v>200</v>
      </c>
      <c r="P39" s="512"/>
      <c r="Q39" s="39">
        <v>10</v>
      </c>
      <c r="R39" s="167">
        <v>12</v>
      </c>
    </row>
    <row r="40" spans="2:18" ht="15" customHeight="1" thickTop="1">
      <c r="B40" s="162"/>
      <c r="C40" s="162"/>
      <c r="D40" s="162"/>
      <c r="E40" s="162"/>
      <c r="F40" s="162"/>
      <c r="G40" s="162"/>
      <c r="H40" s="162"/>
      <c r="I40" s="162"/>
      <c r="J40" s="162"/>
      <c r="K40" s="162"/>
      <c r="L40" s="162"/>
      <c r="M40" s="162"/>
    </row>
    <row r="41" spans="2:18" ht="15" customHeight="1">
      <c r="B41" s="162"/>
      <c r="C41" s="162"/>
      <c r="D41" s="162"/>
      <c r="E41" s="162"/>
      <c r="F41" s="162"/>
      <c r="G41" s="162"/>
      <c r="H41" s="162"/>
      <c r="I41" s="162"/>
      <c r="J41" s="162"/>
      <c r="K41" s="162"/>
      <c r="L41" s="162"/>
      <c r="M41" s="162"/>
    </row>
    <row r="42" spans="2:18" ht="15" customHeight="1">
      <c r="B42" s="162"/>
      <c r="C42" s="162"/>
      <c r="D42" s="162"/>
      <c r="E42" s="162"/>
      <c r="F42" s="162"/>
      <c r="G42" s="162"/>
      <c r="H42" s="162"/>
      <c r="I42" s="162"/>
      <c r="J42" s="162"/>
      <c r="K42" s="162"/>
      <c r="L42" s="162"/>
      <c r="M42" s="162"/>
    </row>
    <row r="43" spans="2:18" ht="15" customHeight="1">
      <c r="B43" s="162"/>
      <c r="C43" s="162"/>
      <c r="D43" s="162"/>
      <c r="E43" s="162"/>
      <c r="F43" s="162"/>
      <c r="G43" s="162"/>
      <c r="H43" s="162"/>
      <c r="I43" s="162"/>
      <c r="J43" s="162"/>
      <c r="K43" s="162"/>
      <c r="L43" s="162"/>
      <c r="M43" s="162"/>
    </row>
    <row r="44" spans="2:18" ht="15" customHeight="1">
      <c r="B44" s="162"/>
      <c r="C44" s="162"/>
      <c r="D44" s="162"/>
      <c r="E44" s="162"/>
      <c r="F44" s="162"/>
      <c r="G44" s="162"/>
      <c r="H44" s="162"/>
      <c r="I44" s="162"/>
      <c r="J44" s="162"/>
      <c r="K44" s="162"/>
      <c r="L44" s="162"/>
      <c r="M44" s="162"/>
    </row>
    <row r="45" spans="2:18" ht="15" customHeight="1">
      <c r="B45" s="162"/>
      <c r="C45" s="162"/>
      <c r="D45" s="162"/>
      <c r="E45" s="162"/>
      <c r="F45" s="162"/>
      <c r="G45" s="162"/>
      <c r="H45" s="162"/>
      <c r="I45" s="162"/>
      <c r="J45" s="162"/>
      <c r="K45" s="162"/>
      <c r="L45" s="162"/>
      <c r="M45" s="162"/>
    </row>
    <row r="46" spans="2:18" ht="15" customHeight="1">
      <c r="B46" s="162"/>
      <c r="C46" s="162"/>
      <c r="D46" s="162"/>
      <c r="E46" s="162"/>
      <c r="F46" s="162"/>
      <c r="G46" s="162"/>
      <c r="H46" s="162"/>
      <c r="I46" s="162"/>
      <c r="J46" s="162"/>
      <c r="K46" s="162"/>
      <c r="L46" s="162"/>
      <c r="M46" s="162"/>
    </row>
    <row r="47" spans="2:18" ht="15" customHeight="1"/>
    <row r="48" spans="2:1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sheetData>
  <customSheetViews>
    <customSheetView guid="{C0BE45DA-73C0-4B1E-ABFB-A0FAB57D4E46}" showGridLines="0" showRuler="0">
      <selection activeCell="B2" sqref="B2:C2"/>
      <pageMargins left="0.75" right="0.75" top="1" bottom="1" header="0.5" footer="0.5"/>
      <pageSetup paperSize="9" orientation="portrait" horizontalDpi="4294967293" verticalDpi="0" r:id="rId1"/>
      <headerFooter alignWithMargins="0"/>
    </customSheetView>
  </customSheetViews>
  <mergeCells count="51">
    <mergeCell ref="K39:L39"/>
    <mergeCell ref="Q1:R1"/>
    <mergeCell ref="B17:B18"/>
    <mergeCell ref="H1:I1"/>
    <mergeCell ref="K1:L1"/>
    <mergeCell ref="N1:O1"/>
    <mergeCell ref="B1:C1"/>
    <mergeCell ref="E1:F1"/>
    <mergeCell ref="K34:L34"/>
    <mergeCell ref="F38:G38"/>
    <mergeCell ref="F39:G39"/>
    <mergeCell ref="K35:L35"/>
    <mergeCell ref="K36:L36"/>
    <mergeCell ref="K37:L37"/>
    <mergeCell ref="B32:C32"/>
    <mergeCell ref="B35:C35"/>
    <mergeCell ref="B36:C36"/>
    <mergeCell ref="B33:C33"/>
    <mergeCell ref="B37:C37"/>
    <mergeCell ref="K38:L38"/>
    <mergeCell ref="B38:C38"/>
    <mergeCell ref="B39:C39"/>
    <mergeCell ref="D38:E38"/>
    <mergeCell ref="D39:E39"/>
    <mergeCell ref="D36:E36"/>
    <mergeCell ref="D37:E37"/>
    <mergeCell ref="F35:G35"/>
    <mergeCell ref="O32:P32"/>
    <mergeCell ref="O33:P33"/>
    <mergeCell ref="F37:G37"/>
    <mergeCell ref="D34:E34"/>
    <mergeCell ref="F32:G32"/>
    <mergeCell ref="D32:E32"/>
    <mergeCell ref="K32:L32"/>
    <mergeCell ref="D35:E35"/>
    <mergeCell ref="D33:E33"/>
    <mergeCell ref="F33:G33"/>
    <mergeCell ref="K33:L33"/>
    <mergeCell ref="F36:G36"/>
    <mergeCell ref="B31:H31"/>
    <mergeCell ref="B16:D16"/>
    <mergeCell ref="F16:I16"/>
    <mergeCell ref="K31:Q31"/>
    <mergeCell ref="F34:G34"/>
    <mergeCell ref="B34:C34"/>
    <mergeCell ref="O39:P39"/>
    <mergeCell ref="O34:P34"/>
    <mergeCell ref="O35:P35"/>
    <mergeCell ref="O36:P36"/>
    <mergeCell ref="O37:P37"/>
    <mergeCell ref="O38:P38"/>
  </mergeCells>
  <phoneticPr fontId="2" type="noConversion"/>
  <pageMargins left="0.94488188976377963" right="0.35433070866141736" top="0.98425196850393704" bottom="0.39370078740157483" header="0.51181102362204722" footer="0.51181102362204722"/>
  <pageSetup paperSize="9" scale="91" orientation="portrait" horizontalDpi="4294967293" verticalDpi="0" r:id="rId2"/>
  <headerFooter alignWithMargins="0"/>
  <colBreaks count="1" manualBreakCount="1">
    <brk id="9" max="38"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2"/>
  </sheetPr>
  <dimension ref="B1:J20"/>
  <sheetViews>
    <sheetView showGridLines="0" workbookViewId="0">
      <selection activeCell="B1" sqref="B1:J1"/>
    </sheetView>
  </sheetViews>
  <sheetFormatPr defaultRowHeight="13.2"/>
  <cols>
    <col min="1" max="1" width="2.6640625" customWidth="1"/>
    <col min="2" max="9" width="8.6640625" customWidth="1"/>
  </cols>
  <sheetData>
    <row r="1" spans="2:10" ht="20.100000000000001" customHeight="1" thickTop="1">
      <c r="B1" s="455" t="s">
        <v>39</v>
      </c>
      <c r="C1" s="456"/>
      <c r="D1" s="456"/>
      <c r="E1" s="456"/>
      <c r="F1" s="456"/>
      <c r="G1" s="456"/>
      <c r="H1" s="456"/>
      <c r="I1" s="456"/>
      <c r="J1" s="457"/>
    </row>
    <row r="2" spans="2:10" ht="15" customHeight="1">
      <c r="B2" s="466" t="s">
        <v>40</v>
      </c>
      <c r="C2" s="15" t="s">
        <v>18</v>
      </c>
      <c r="D2" s="15" t="s">
        <v>17</v>
      </c>
      <c r="E2" s="15" t="s">
        <v>35</v>
      </c>
      <c r="F2" s="15" t="s">
        <v>19</v>
      </c>
      <c r="G2" s="15" t="s">
        <v>41</v>
      </c>
      <c r="H2" s="15" t="s">
        <v>21</v>
      </c>
      <c r="I2" s="15" t="s">
        <v>2</v>
      </c>
      <c r="J2" s="16" t="s">
        <v>0</v>
      </c>
    </row>
    <row r="3" spans="2:10" ht="15" customHeight="1">
      <c r="B3" s="466"/>
      <c r="C3" s="15" t="s">
        <v>22</v>
      </c>
      <c r="D3" s="15" t="s">
        <v>22</v>
      </c>
      <c r="E3" s="15" t="s">
        <v>22</v>
      </c>
      <c r="F3" s="15" t="s">
        <v>22</v>
      </c>
      <c r="G3" s="15" t="s">
        <v>22</v>
      </c>
      <c r="H3" s="15" t="s">
        <v>22</v>
      </c>
      <c r="I3" s="15" t="s">
        <v>3</v>
      </c>
      <c r="J3" s="16" t="s">
        <v>23</v>
      </c>
    </row>
    <row r="4" spans="2:10" ht="15" customHeight="1">
      <c r="B4" s="67">
        <v>110</v>
      </c>
      <c r="C4" s="2">
        <v>110</v>
      </c>
      <c r="D4" s="2">
        <v>84</v>
      </c>
      <c r="E4" s="2">
        <v>70</v>
      </c>
      <c r="F4" s="2">
        <v>14</v>
      </c>
      <c r="G4" s="2">
        <v>14</v>
      </c>
      <c r="H4" s="2">
        <v>5</v>
      </c>
      <c r="I4" s="17">
        <v>31.1</v>
      </c>
      <c r="J4" s="29">
        <v>24.5</v>
      </c>
    </row>
    <row r="5" spans="2:10" ht="15" customHeight="1" thickBot="1">
      <c r="B5" s="69">
        <v>140</v>
      </c>
      <c r="C5" s="12">
        <v>140</v>
      </c>
      <c r="D5" s="12">
        <v>110</v>
      </c>
      <c r="E5" s="12">
        <v>12</v>
      </c>
      <c r="F5" s="12">
        <v>19</v>
      </c>
      <c r="G5" s="12">
        <v>17</v>
      </c>
      <c r="H5" s="12">
        <v>8</v>
      </c>
      <c r="I5" s="18">
        <v>53</v>
      </c>
      <c r="J5" s="30">
        <v>41.6</v>
      </c>
    </row>
    <row r="6" spans="2:10" ht="15" customHeight="1" thickTop="1">
      <c r="B6" s="1"/>
      <c r="C6" s="1"/>
      <c r="D6" s="1"/>
      <c r="E6" s="1"/>
      <c r="F6" s="1"/>
      <c r="G6" s="1"/>
      <c r="H6" s="1"/>
      <c r="I6" s="1"/>
      <c r="J6" s="1"/>
    </row>
    <row r="7" spans="2:10" ht="15" customHeight="1">
      <c r="B7" s="1"/>
      <c r="C7" s="1"/>
      <c r="D7" s="1"/>
      <c r="E7" s="1"/>
      <c r="F7" s="1"/>
      <c r="G7" s="1"/>
      <c r="H7" s="1"/>
      <c r="I7" s="1"/>
      <c r="J7" s="1"/>
    </row>
    <row r="8" spans="2:10" ht="15" customHeight="1">
      <c r="B8" s="1"/>
      <c r="C8" s="1"/>
      <c r="D8" s="1"/>
      <c r="E8" s="1"/>
      <c r="F8" s="1"/>
      <c r="G8" s="1"/>
      <c r="H8" s="1"/>
      <c r="I8" s="1"/>
      <c r="J8" s="1"/>
    </row>
    <row r="9" spans="2:10" ht="15" customHeight="1">
      <c r="B9" s="1"/>
      <c r="C9" s="1"/>
      <c r="D9" s="1"/>
      <c r="E9" s="1"/>
      <c r="F9" s="1"/>
      <c r="G9" s="1"/>
      <c r="H9" s="1"/>
      <c r="I9" s="1"/>
      <c r="J9" s="1"/>
    </row>
    <row r="10" spans="2:10" ht="15" customHeight="1">
      <c r="B10" s="1"/>
      <c r="C10" s="1"/>
      <c r="D10" s="1"/>
      <c r="E10" s="1"/>
      <c r="F10" s="1"/>
      <c r="G10" s="1"/>
      <c r="H10" s="1"/>
      <c r="I10" s="1"/>
      <c r="J10" s="1"/>
    </row>
    <row r="11" spans="2:10" ht="15" customHeight="1">
      <c r="B11" s="1"/>
      <c r="C11" s="1"/>
      <c r="D11" s="1"/>
      <c r="E11" s="1"/>
      <c r="F11" s="1"/>
      <c r="G11" s="1"/>
      <c r="H11" s="1"/>
      <c r="I11" s="1"/>
      <c r="J11" s="1"/>
    </row>
    <row r="12" spans="2:10" ht="15" customHeight="1">
      <c r="B12" s="1"/>
      <c r="C12" s="1"/>
      <c r="D12" s="1"/>
      <c r="E12" s="1"/>
      <c r="F12" s="1"/>
      <c r="G12" s="1"/>
      <c r="H12" s="1"/>
      <c r="I12" s="1"/>
      <c r="J12" s="1"/>
    </row>
    <row r="13" spans="2:10" ht="15" customHeight="1">
      <c r="B13" s="1"/>
      <c r="C13" s="1"/>
      <c r="D13" s="1"/>
      <c r="E13" s="1"/>
      <c r="F13" s="1"/>
      <c r="G13" s="1"/>
      <c r="H13" s="1"/>
      <c r="I13" s="1"/>
      <c r="J13" s="1"/>
    </row>
    <row r="14" spans="2:10" ht="15" customHeight="1"/>
    <row r="15" spans="2:10" ht="15" customHeight="1"/>
    <row r="16" spans="2:10" ht="15" customHeight="1"/>
    <row r="17" ht="15" customHeight="1"/>
    <row r="18" ht="15" customHeight="1"/>
    <row r="19" ht="15" customHeight="1"/>
    <row r="20" ht="15" customHeight="1"/>
  </sheetData>
  <customSheetViews>
    <customSheetView guid="{C0BE45DA-73C0-4B1E-ABFB-A0FAB57D4E46}" showGridLines="0" showRuler="0">
      <selection activeCell="B3" sqref="B3:B4"/>
      <pageMargins left="0.75" right="0.75" top="1" bottom="1" header="0.5" footer="0.5"/>
      <headerFooter alignWithMargins="0"/>
    </customSheetView>
  </customSheetViews>
  <mergeCells count="2">
    <mergeCell ref="B1:J1"/>
    <mergeCell ref="B2:B3"/>
  </mergeCells>
  <phoneticPr fontId="2" type="noConversion"/>
  <pageMargins left="0.94488188976377963" right="0.35433070866141736" top="0.98425196850393704" bottom="0.39370078740157483" header="0.51181102362204722" footer="0.51181102362204722"/>
  <pageSetup paperSize="9" orientation="portrait" horizontalDpi="4294967293" verticalDpi="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B1:H22"/>
  <sheetViews>
    <sheetView showGridLines="0" workbookViewId="0">
      <selection activeCell="B1" sqref="B1:H1"/>
    </sheetView>
  </sheetViews>
  <sheetFormatPr defaultRowHeight="13.2"/>
  <cols>
    <col min="1" max="1" width="2.6640625" customWidth="1"/>
    <col min="2" max="6" width="8.6640625" customWidth="1"/>
  </cols>
  <sheetData>
    <row r="1" spans="2:8" ht="20.100000000000001" customHeight="1" thickTop="1">
      <c r="B1" s="455" t="s">
        <v>32</v>
      </c>
      <c r="C1" s="456"/>
      <c r="D1" s="456"/>
      <c r="E1" s="456"/>
      <c r="F1" s="456"/>
      <c r="G1" s="456"/>
      <c r="H1" s="457"/>
    </row>
    <row r="2" spans="2:8" ht="15" customHeight="1">
      <c r="B2" s="466" t="s">
        <v>33</v>
      </c>
      <c r="C2" s="15" t="s">
        <v>18</v>
      </c>
      <c r="D2" s="15" t="s">
        <v>17</v>
      </c>
      <c r="E2" s="15" t="s">
        <v>35</v>
      </c>
      <c r="F2" s="15" t="s">
        <v>2</v>
      </c>
      <c r="G2" s="15" t="s">
        <v>0</v>
      </c>
      <c r="H2" s="16" t="s">
        <v>7</v>
      </c>
    </row>
    <row r="3" spans="2:8" ht="15" customHeight="1">
      <c r="B3" s="466"/>
      <c r="C3" s="15" t="s">
        <v>22</v>
      </c>
      <c r="D3" s="15" t="s">
        <v>22</v>
      </c>
      <c r="E3" s="15" t="s">
        <v>22</v>
      </c>
      <c r="F3" s="15" t="s">
        <v>3</v>
      </c>
      <c r="G3" s="15" t="s">
        <v>23</v>
      </c>
      <c r="H3" s="16" t="s">
        <v>24</v>
      </c>
    </row>
    <row r="4" spans="2:8" ht="15" customHeight="1">
      <c r="B4" s="67">
        <v>30</v>
      </c>
      <c r="C4" s="2">
        <v>30</v>
      </c>
      <c r="D4" s="2">
        <v>30</v>
      </c>
      <c r="E4" s="2">
        <v>4</v>
      </c>
      <c r="F4" s="2">
        <v>2.2599999999999998</v>
      </c>
      <c r="G4" s="2">
        <v>1.77</v>
      </c>
      <c r="H4" s="3">
        <v>0.114</v>
      </c>
    </row>
    <row r="5" spans="2:8" ht="15" customHeight="1">
      <c r="B5" s="67">
        <v>35</v>
      </c>
      <c r="C5" s="2">
        <v>35</v>
      </c>
      <c r="D5" s="2">
        <v>35</v>
      </c>
      <c r="E5" s="2">
        <v>4.5</v>
      </c>
      <c r="F5" s="2">
        <v>2.97</v>
      </c>
      <c r="G5" s="2">
        <v>2.33</v>
      </c>
      <c r="H5" s="3">
        <v>0.13300000000000001</v>
      </c>
    </row>
    <row r="6" spans="2:8" ht="15" customHeight="1">
      <c r="B6" s="67">
        <v>40</v>
      </c>
      <c r="C6" s="2">
        <v>40</v>
      </c>
      <c r="D6" s="2">
        <v>40</v>
      </c>
      <c r="E6" s="2">
        <v>5</v>
      </c>
      <c r="F6" s="2">
        <v>3.77</v>
      </c>
      <c r="G6" s="2">
        <v>2.96</v>
      </c>
      <c r="H6" s="3">
        <v>0.153</v>
      </c>
    </row>
    <row r="7" spans="2:8" ht="15" customHeight="1" thickBot="1">
      <c r="B7" s="69">
        <v>50</v>
      </c>
      <c r="C7" s="12">
        <v>50</v>
      </c>
      <c r="D7" s="12">
        <v>50</v>
      </c>
      <c r="E7" s="12">
        <v>6</v>
      </c>
      <c r="F7" s="12">
        <v>5.66</v>
      </c>
      <c r="G7" s="12">
        <v>4.4400000000000004</v>
      </c>
      <c r="H7" s="13">
        <v>0.191</v>
      </c>
    </row>
    <row r="8" spans="2:8" ht="15" customHeight="1" thickTop="1">
      <c r="B8" s="1"/>
      <c r="C8" s="1"/>
      <c r="D8" s="1"/>
      <c r="E8" s="1"/>
      <c r="F8" s="1"/>
      <c r="G8" s="1"/>
      <c r="H8" s="1"/>
    </row>
    <row r="9" spans="2:8" ht="15" customHeight="1">
      <c r="B9" s="1"/>
      <c r="C9" s="1"/>
      <c r="D9" s="1"/>
      <c r="E9" s="1"/>
      <c r="F9" s="1"/>
      <c r="G9" s="1"/>
      <c r="H9" s="1"/>
    </row>
    <row r="10" spans="2:8" ht="15" customHeight="1">
      <c r="B10" s="1"/>
      <c r="C10" s="1"/>
      <c r="D10" s="1"/>
      <c r="E10" s="1"/>
      <c r="F10" s="1"/>
      <c r="G10" s="1"/>
      <c r="H10" s="1"/>
    </row>
    <row r="11" spans="2:8" ht="15" customHeight="1">
      <c r="B11" s="1"/>
      <c r="C11" s="1"/>
      <c r="D11" s="1"/>
      <c r="E11" s="1"/>
      <c r="F11" s="1"/>
      <c r="G11" s="1"/>
      <c r="H11" s="1"/>
    </row>
    <row r="12" spans="2:8" ht="15" customHeight="1">
      <c r="B12" s="1"/>
      <c r="C12" s="1"/>
      <c r="D12" s="1"/>
      <c r="E12" s="1"/>
      <c r="F12" s="1"/>
      <c r="G12" s="1"/>
      <c r="H12" s="1"/>
    </row>
    <row r="13" spans="2:8" ht="15" customHeight="1">
      <c r="B13" s="1"/>
      <c r="C13" s="1"/>
      <c r="D13" s="1"/>
      <c r="E13" s="1"/>
      <c r="F13" s="1"/>
      <c r="G13" s="1"/>
      <c r="H13" s="1"/>
    </row>
    <row r="14" spans="2:8" ht="15" customHeight="1">
      <c r="B14" s="1"/>
      <c r="C14" s="1"/>
      <c r="D14" s="1"/>
      <c r="E14" s="1"/>
      <c r="F14" s="1"/>
      <c r="G14" s="1"/>
      <c r="H14" s="1"/>
    </row>
    <row r="15" spans="2:8" ht="15" customHeight="1">
      <c r="B15" s="1"/>
      <c r="C15" s="1"/>
      <c r="D15" s="1"/>
      <c r="E15" s="1"/>
      <c r="F15" s="1"/>
      <c r="G15" s="1"/>
      <c r="H15" s="1"/>
    </row>
    <row r="16" spans="2:8" ht="15" customHeight="1"/>
    <row r="17" ht="15" customHeight="1"/>
    <row r="18" ht="15" customHeight="1"/>
    <row r="19" ht="15" customHeight="1"/>
    <row r="20" ht="15" customHeight="1"/>
    <row r="21" ht="15" customHeight="1"/>
    <row r="22" ht="15" customHeight="1"/>
  </sheetData>
  <customSheetViews>
    <customSheetView guid="{C0BE45DA-73C0-4B1E-ABFB-A0FAB57D4E46}" showGridLines="0" showRuler="0">
      <selection activeCell="B3" sqref="B3:B4"/>
      <pageMargins left="0.75" right="0.75" top="1" bottom="1" header="0.5" footer="0.5"/>
      <headerFooter alignWithMargins="0"/>
    </customSheetView>
  </customSheetViews>
  <mergeCells count="2">
    <mergeCell ref="B1:H1"/>
    <mergeCell ref="B2:B3"/>
  </mergeCells>
  <phoneticPr fontId="2" type="noConversion"/>
  <pageMargins left="0.94488188976377963" right="0.35433070866141736" top="0.98425196850393704" bottom="0.39370078740157483" header="0.51181102362204722" footer="0.51181102362204722"/>
  <pageSetup paperSize="9" orientation="portrait" horizontalDpi="4294967293" verticalDpi="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B1:H20"/>
  <sheetViews>
    <sheetView showGridLines="0" workbookViewId="0">
      <selection activeCell="B1" sqref="B1:H1"/>
    </sheetView>
  </sheetViews>
  <sheetFormatPr defaultRowHeight="13.2"/>
  <cols>
    <col min="1" max="1" width="2.6640625" customWidth="1"/>
    <col min="2" max="7" width="8.6640625" customWidth="1"/>
  </cols>
  <sheetData>
    <row r="1" spans="2:8" ht="20.100000000000001" customHeight="1" thickTop="1">
      <c r="B1" s="455" t="s">
        <v>38</v>
      </c>
      <c r="C1" s="456"/>
      <c r="D1" s="456"/>
      <c r="E1" s="456"/>
      <c r="F1" s="456"/>
      <c r="G1" s="456"/>
      <c r="H1" s="457"/>
    </row>
    <row r="2" spans="2:8" ht="15" customHeight="1">
      <c r="B2" s="466" t="s">
        <v>34</v>
      </c>
      <c r="C2" s="15" t="s">
        <v>18</v>
      </c>
      <c r="D2" s="15" t="s">
        <v>17</v>
      </c>
      <c r="E2" s="15" t="s">
        <v>36</v>
      </c>
      <c r="F2" s="15" t="s">
        <v>35</v>
      </c>
      <c r="G2" s="15" t="s">
        <v>2</v>
      </c>
      <c r="H2" s="16" t="s">
        <v>0</v>
      </c>
    </row>
    <row r="3" spans="2:8" ht="15" customHeight="1">
      <c r="B3" s="466"/>
      <c r="C3" s="15" t="s">
        <v>22</v>
      </c>
      <c r="D3" s="15" t="s">
        <v>22</v>
      </c>
      <c r="E3" s="15" t="s">
        <v>22</v>
      </c>
      <c r="F3" s="15" t="s">
        <v>22</v>
      </c>
      <c r="G3" s="15" t="s">
        <v>3</v>
      </c>
      <c r="H3" s="16" t="s">
        <v>23</v>
      </c>
    </row>
    <row r="4" spans="2:8" ht="15" customHeight="1">
      <c r="B4" s="67" t="s">
        <v>37</v>
      </c>
      <c r="C4" s="2">
        <v>46</v>
      </c>
      <c r="D4" s="2">
        <v>83</v>
      </c>
      <c r="E4" s="2">
        <v>35</v>
      </c>
      <c r="F4" s="2">
        <v>5</v>
      </c>
      <c r="G4" s="2">
        <v>7.5</v>
      </c>
      <c r="H4" s="3">
        <v>5.85</v>
      </c>
    </row>
    <row r="5" spans="2:8" ht="15" customHeight="1" thickBot="1">
      <c r="B5" s="9"/>
      <c r="C5" s="12"/>
      <c r="D5" s="12"/>
      <c r="E5" s="12"/>
      <c r="F5" s="12"/>
      <c r="G5" s="12"/>
      <c r="H5" s="13"/>
    </row>
    <row r="6" spans="2:8" ht="15" customHeight="1" thickTop="1">
      <c r="B6" s="1"/>
      <c r="C6" s="1"/>
      <c r="D6" s="1"/>
      <c r="E6" s="1"/>
      <c r="F6" s="1"/>
      <c r="G6" s="1"/>
      <c r="H6" s="1"/>
    </row>
    <row r="7" spans="2:8" ht="15" customHeight="1">
      <c r="B7" s="1"/>
      <c r="C7" s="1"/>
      <c r="D7" s="1"/>
      <c r="E7" s="1"/>
      <c r="F7" s="1"/>
      <c r="G7" s="1"/>
      <c r="H7" s="1"/>
    </row>
    <row r="8" spans="2:8" ht="15" customHeight="1">
      <c r="B8" s="1"/>
      <c r="C8" s="1"/>
      <c r="D8" s="1"/>
      <c r="E8" s="1"/>
      <c r="F8" s="1"/>
      <c r="G8" s="1"/>
      <c r="H8" s="1"/>
    </row>
    <row r="9" spans="2:8" ht="15" customHeight="1">
      <c r="B9" s="1"/>
      <c r="C9" s="1"/>
      <c r="D9" s="1"/>
      <c r="E9" s="1"/>
      <c r="F9" s="1"/>
      <c r="G9" s="1"/>
      <c r="H9" s="1"/>
    </row>
    <row r="10" spans="2:8" ht="15" customHeight="1">
      <c r="B10" s="1"/>
      <c r="C10" s="1"/>
      <c r="D10" s="1"/>
      <c r="E10" s="1"/>
      <c r="F10" s="1"/>
      <c r="G10" s="1"/>
      <c r="H10" s="1"/>
    </row>
    <row r="11" spans="2:8" ht="15" customHeight="1">
      <c r="B11" s="1"/>
      <c r="C11" s="1"/>
      <c r="D11" s="1"/>
      <c r="E11" s="1"/>
      <c r="F11" s="1"/>
      <c r="G11" s="1"/>
      <c r="H11" s="1"/>
    </row>
    <row r="12" spans="2:8" ht="15" customHeight="1">
      <c r="B12" s="1"/>
      <c r="C12" s="1"/>
      <c r="D12" s="1"/>
      <c r="E12" s="1"/>
      <c r="F12" s="1"/>
      <c r="G12" s="1"/>
      <c r="H12" s="1"/>
    </row>
    <row r="13" spans="2:8" ht="15" customHeight="1">
      <c r="B13" s="1"/>
      <c r="C13" s="1"/>
      <c r="D13" s="1"/>
      <c r="E13" s="1"/>
      <c r="F13" s="1"/>
      <c r="G13" s="1"/>
      <c r="H13" s="1"/>
    </row>
    <row r="14" spans="2:8" ht="15" customHeight="1"/>
    <row r="15" spans="2:8" ht="15" customHeight="1"/>
    <row r="16" spans="2:8" ht="15" customHeight="1"/>
    <row r="17" ht="15" customHeight="1"/>
    <row r="18" ht="15" customHeight="1"/>
    <row r="19" ht="15" customHeight="1"/>
    <row r="20" ht="15" customHeight="1"/>
  </sheetData>
  <customSheetViews>
    <customSheetView guid="{C0BE45DA-73C0-4B1E-ABFB-A0FAB57D4E46}" showGridLines="0" showRuler="0">
      <selection activeCell="B3" sqref="B3:B4"/>
      <pageMargins left="0.75" right="0.75" top="1" bottom="1" header="0.5" footer="0.5"/>
      <headerFooter alignWithMargins="0"/>
    </customSheetView>
  </customSheetViews>
  <mergeCells count="2">
    <mergeCell ref="B1:H1"/>
    <mergeCell ref="B2:B3"/>
  </mergeCells>
  <phoneticPr fontId="2" type="noConversion"/>
  <pageMargins left="0.94488188976377963" right="0.35433070866141736" top="0.98425196850393704" bottom="0.39370078740157483" header="0.51181102362204722" footer="0.51181102362204722"/>
  <pageSetup paperSize="9" orientation="portrait" horizontalDpi="4294967293" verticalDpi="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B1:L23"/>
  <sheetViews>
    <sheetView workbookViewId="0">
      <selection activeCell="B17" sqref="B17:G17"/>
    </sheetView>
  </sheetViews>
  <sheetFormatPr defaultRowHeight="13.2"/>
  <cols>
    <col min="1" max="1" width="2.6640625" customWidth="1"/>
    <col min="2" max="12" width="10.6640625" customWidth="1"/>
  </cols>
  <sheetData>
    <row r="1" spans="2:12" ht="20.100000000000001" customHeight="1" thickBot="1">
      <c r="B1" s="538" t="s">
        <v>603</v>
      </c>
      <c r="C1" s="538"/>
      <c r="D1" s="538"/>
      <c r="E1" s="538"/>
      <c r="F1" s="538"/>
      <c r="G1" s="538"/>
      <c r="H1" s="538"/>
      <c r="I1" s="538"/>
      <c r="J1" s="538"/>
      <c r="K1" s="538"/>
      <c r="L1" s="538"/>
    </row>
    <row r="2" spans="2:12" ht="15" customHeight="1" thickTop="1">
      <c r="B2" s="534" t="s">
        <v>604</v>
      </c>
      <c r="C2" s="535"/>
      <c r="D2" s="456" t="s">
        <v>618</v>
      </c>
      <c r="E2" s="456"/>
      <c r="F2" s="456"/>
      <c r="G2" s="456" t="s">
        <v>622</v>
      </c>
      <c r="H2" s="456"/>
      <c r="I2" s="456"/>
      <c r="J2" s="456" t="s">
        <v>623</v>
      </c>
      <c r="K2" s="456"/>
      <c r="L2" s="457"/>
    </row>
    <row r="3" spans="2:12" ht="15" customHeight="1">
      <c r="B3" s="536" t="s">
        <v>605</v>
      </c>
      <c r="C3" s="537"/>
      <c r="D3" s="15" t="s">
        <v>619</v>
      </c>
      <c r="E3" s="15" t="s">
        <v>621</v>
      </c>
      <c r="F3" s="15" t="s">
        <v>620</v>
      </c>
      <c r="G3" s="15" t="s">
        <v>619</v>
      </c>
      <c r="H3" s="15" t="s">
        <v>621</v>
      </c>
      <c r="I3" s="15" t="s">
        <v>620</v>
      </c>
      <c r="J3" s="539" t="s">
        <v>624</v>
      </c>
      <c r="K3" s="540" t="s">
        <v>625</v>
      </c>
      <c r="L3" s="541" t="s">
        <v>626</v>
      </c>
    </row>
    <row r="4" spans="2:12" ht="15" customHeight="1">
      <c r="B4" s="67" t="s">
        <v>617</v>
      </c>
      <c r="C4" s="15" t="s">
        <v>22</v>
      </c>
      <c r="D4" s="15" t="s">
        <v>22</v>
      </c>
      <c r="E4" s="15" t="s">
        <v>22</v>
      </c>
      <c r="F4" s="15" t="s">
        <v>22</v>
      </c>
      <c r="G4" s="15" t="s">
        <v>22</v>
      </c>
      <c r="H4" s="15" t="s">
        <v>22</v>
      </c>
      <c r="I4" s="15" t="s">
        <v>22</v>
      </c>
      <c r="J4" s="539"/>
      <c r="K4" s="540"/>
      <c r="L4" s="541"/>
    </row>
    <row r="5" spans="2:12" ht="15" customHeight="1">
      <c r="B5" s="199" t="s">
        <v>606</v>
      </c>
      <c r="C5" s="15">
        <v>15</v>
      </c>
      <c r="D5" s="17">
        <v>21</v>
      </c>
      <c r="E5" s="17">
        <v>21.3</v>
      </c>
      <c r="F5" s="17">
        <v>21.8</v>
      </c>
      <c r="G5" s="19">
        <v>2.3199999999999998</v>
      </c>
      <c r="H5" s="19">
        <v>2.65</v>
      </c>
      <c r="I5" s="19">
        <v>2.91</v>
      </c>
      <c r="J5" s="19">
        <v>1.22</v>
      </c>
      <c r="K5" s="19">
        <v>1.23</v>
      </c>
      <c r="L5" s="173">
        <v>1.3</v>
      </c>
    </row>
    <row r="6" spans="2:12" ht="15" customHeight="1">
      <c r="B6" s="199" t="s">
        <v>607</v>
      </c>
      <c r="C6" s="15">
        <v>20</v>
      </c>
      <c r="D6" s="17">
        <v>26.5</v>
      </c>
      <c r="E6" s="17">
        <v>26.9</v>
      </c>
      <c r="F6" s="17">
        <v>27.3</v>
      </c>
      <c r="G6" s="19">
        <v>2.3199999999999998</v>
      </c>
      <c r="H6" s="19">
        <v>2.65</v>
      </c>
      <c r="I6" s="19">
        <v>2.91</v>
      </c>
      <c r="J6" s="19">
        <v>1.58</v>
      </c>
      <c r="K6" s="19">
        <v>1.59</v>
      </c>
      <c r="L6" s="173">
        <v>1.68</v>
      </c>
    </row>
    <row r="7" spans="2:12" ht="15" customHeight="1">
      <c r="B7" s="199" t="s">
        <v>608</v>
      </c>
      <c r="C7" s="15">
        <v>25</v>
      </c>
      <c r="D7" s="17">
        <v>33.299999999999997</v>
      </c>
      <c r="E7" s="17">
        <v>33.700000000000003</v>
      </c>
      <c r="F7" s="17">
        <v>34.200000000000003</v>
      </c>
      <c r="G7" s="19">
        <v>2.85</v>
      </c>
      <c r="H7" s="19">
        <v>3.25</v>
      </c>
      <c r="I7" s="19">
        <v>3.57</v>
      </c>
      <c r="J7" s="19">
        <v>2.44</v>
      </c>
      <c r="K7" s="19">
        <v>2.46</v>
      </c>
      <c r="L7" s="173">
        <v>2.57</v>
      </c>
    </row>
    <row r="8" spans="2:12" ht="15" customHeight="1">
      <c r="B8" s="67" t="s">
        <v>609</v>
      </c>
      <c r="C8" s="15">
        <v>32</v>
      </c>
      <c r="D8" s="17">
        <v>42</v>
      </c>
      <c r="E8" s="17">
        <v>42.4</v>
      </c>
      <c r="F8" s="17">
        <v>42.9</v>
      </c>
      <c r="G8" s="19">
        <v>2.85</v>
      </c>
      <c r="H8" s="19">
        <v>3.25</v>
      </c>
      <c r="I8" s="19">
        <v>3.57</v>
      </c>
      <c r="J8" s="19">
        <v>3.14</v>
      </c>
      <c r="K8" s="19">
        <v>3.17</v>
      </c>
      <c r="L8" s="173">
        <v>3.32</v>
      </c>
    </row>
    <row r="9" spans="2:12" ht="15" customHeight="1">
      <c r="B9" s="67" t="s">
        <v>610</v>
      </c>
      <c r="C9" s="15">
        <v>40</v>
      </c>
      <c r="D9" s="17">
        <v>47.9</v>
      </c>
      <c r="E9" s="17">
        <v>48.3</v>
      </c>
      <c r="F9" s="17">
        <v>48.8</v>
      </c>
      <c r="G9" s="19">
        <v>2.85</v>
      </c>
      <c r="H9" s="19">
        <v>3.25</v>
      </c>
      <c r="I9" s="19">
        <v>3.57</v>
      </c>
      <c r="J9" s="19">
        <v>3.61</v>
      </c>
      <c r="K9" s="19">
        <v>3.65</v>
      </c>
      <c r="L9" s="173">
        <v>3.82</v>
      </c>
    </row>
    <row r="10" spans="2:12" ht="15" customHeight="1">
      <c r="B10" s="199" t="s">
        <v>611</v>
      </c>
      <c r="C10" s="15">
        <v>50</v>
      </c>
      <c r="D10" s="17">
        <v>59.7</v>
      </c>
      <c r="E10" s="17">
        <v>60.3</v>
      </c>
      <c r="F10" s="17">
        <v>60.8</v>
      </c>
      <c r="G10" s="19">
        <v>3.2</v>
      </c>
      <c r="H10" s="19">
        <v>3.65</v>
      </c>
      <c r="I10" s="19">
        <v>4.01</v>
      </c>
      <c r="J10" s="19">
        <v>5.0999999999999996</v>
      </c>
      <c r="K10" s="19">
        <v>5.17</v>
      </c>
      <c r="L10" s="173">
        <v>5.38</v>
      </c>
    </row>
    <row r="11" spans="2:12" ht="15" customHeight="1">
      <c r="B11" s="67" t="s">
        <v>612</v>
      </c>
      <c r="C11" s="15">
        <v>65</v>
      </c>
      <c r="D11" s="17">
        <v>75.3</v>
      </c>
      <c r="E11" s="17">
        <v>76.099999999999994</v>
      </c>
      <c r="F11" s="17">
        <v>76.599999999999994</v>
      </c>
      <c r="G11" s="19">
        <v>3.2</v>
      </c>
      <c r="H11" s="19">
        <v>3.65</v>
      </c>
      <c r="I11" s="19">
        <v>4.01</v>
      </c>
      <c r="J11" s="19">
        <v>6.51</v>
      </c>
      <c r="K11" s="19">
        <v>6.63</v>
      </c>
      <c r="L11" s="173">
        <v>6.9</v>
      </c>
    </row>
    <row r="12" spans="2:12" ht="15" customHeight="1">
      <c r="B12" s="199" t="s">
        <v>613</v>
      </c>
      <c r="C12" s="15">
        <v>80</v>
      </c>
      <c r="D12" s="17">
        <v>88</v>
      </c>
      <c r="E12" s="17">
        <v>88.9</v>
      </c>
      <c r="F12" s="17">
        <v>89.5</v>
      </c>
      <c r="G12" s="19">
        <v>3.55</v>
      </c>
      <c r="H12" s="19">
        <v>4.05</v>
      </c>
      <c r="I12" s="19">
        <v>4.45</v>
      </c>
      <c r="J12" s="19">
        <v>8.4700000000000006</v>
      </c>
      <c r="K12" s="19">
        <v>8.64</v>
      </c>
      <c r="L12" s="173">
        <v>8.9600000000000009</v>
      </c>
    </row>
    <row r="13" spans="2:12" ht="15" customHeight="1">
      <c r="B13" s="199" t="s">
        <v>614</v>
      </c>
      <c r="C13" s="15">
        <v>100</v>
      </c>
      <c r="D13" s="17">
        <v>113.1</v>
      </c>
      <c r="E13" s="17">
        <v>114.3</v>
      </c>
      <c r="F13" s="17">
        <v>115</v>
      </c>
      <c r="G13" s="19">
        <v>3.95</v>
      </c>
      <c r="H13" s="19">
        <v>4.5</v>
      </c>
      <c r="I13" s="19">
        <v>4.95</v>
      </c>
      <c r="J13" s="19">
        <v>12.1</v>
      </c>
      <c r="K13" s="19">
        <v>12.4</v>
      </c>
      <c r="L13" s="173">
        <v>12.8</v>
      </c>
    </row>
    <row r="14" spans="2:12" ht="15" customHeight="1">
      <c r="B14" s="199" t="s">
        <v>615</v>
      </c>
      <c r="C14" s="15">
        <v>125</v>
      </c>
      <c r="D14" s="17">
        <v>138.5</v>
      </c>
      <c r="E14" s="17">
        <v>139.69999999999999</v>
      </c>
      <c r="F14" s="17">
        <v>140.80000000000001</v>
      </c>
      <c r="G14" s="19">
        <v>4.25</v>
      </c>
      <c r="H14" s="19">
        <v>4.8499999999999996</v>
      </c>
      <c r="I14" s="19">
        <v>5.33</v>
      </c>
      <c r="J14" s="19">
        <v>16.2</v>
      </c>
      <c r="K14" s="19">
        <v>16.7</v>
      </c>
      <c r="L14" s="173">
        <v>17.350000000000001</v>
      </c>
    </row>
    <row r="15" spans="2:12" ht="15" customHeight="1" thickBot="1">
      <c r="B15" s="200" t="s">
        <v>616</v>
      </c>
      <c r="C15" s="184">
        <v>150</v>
      </c>
      <c r="D15" s="18">
        <v>163.9</v>
      </c>
      <c r="E15" s="18">
        <v>165.2</v>
      </c>
      <c r="F15" s="18">
        <v>166.5</v>
      </c>
      <c r="G15" s="20">
        <v>4.25</v>
      </c>
      <c r="H15" s="20">
        <v>4.8499999999999996</v>
      </c>
      <c r="I15" s="20">
        <v>5.33</v>
      </c>
      <c r="J15" s="20">
        <v>19.2</v>
      </c>
      <c r="K15" s="20">
        <v>19.8</v>
      </c>
      <c r="L15" s="174">
        <v>20.6</v>
      </c>
    </row>
    <row r="16" spans="2:12" ht="15" customHeight="1" thickTop="1">
      <c r="B16" s="1"/>
      <c r="C16" s="1"/>
      <c r="D16" s="1"/>
      <c r="E16" s="1"/>
      <c r="F16" s="1"/>
    </row>
    <row r="17" ht="15" customHeight="1"/>
    <row r="18" ht="15" customHeight="1"/>
    <row r="19" ht="15" customHeight="1"/>
    <row r="20" ht="15" customHeight="1"/>
    <row r="21" ht="15" customHeight="1"/>
    <row r="22" ht="15" customHeight="1"/>
    <row r="23" ht="15" customHeight="1"/>
  </sheetData>
  <customSheetViews>
    <customSheetView guid="{C0BE45DA-73C0-4B1E-ABFB-A0FAB57D4E46}" showRuler="0">
      <selection activeCell="B3" sqref="B3:C3"/>
      <pageMargins left="0.75" right="0.75" top="1" bottom="1" header="0.5" footer="0.5"/>
      <headerFooter alignWithMargins="0"/>
    </customSheetView>
  </customSheetViews>
  <mergeCells count="9">
    <mergeCell ref="B2:C2"/>
    <mergeCell ref="B3:C3"/>
    <mergeCell ref="B1:L1"/>
    <mergeCell ref="D2:F2"/>
    <mergeCell ref="G2:I2"/>
    <mergeCell ref="J2:L2"/>
    <mergeCell ref="J3:J4"/>
    <mergeCell ref="K3:K4"/>
    <mergeCell ref="L3:L4"/>
  </mergeCells>
  <phoneticPr fontId="2" type="noConversion"/>
  <pageMargins left="0.94488188976377963" right="0.35433070866141736" top="0.98425196850393704" bottom="0.39370078740157483" header="0.51181102362204722" footer="0.51181102362204722"/>
  <pageSetup paperSize="9" scale="74" orientation="portrait" horizontalDpi="4294967293" verticalDpi="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BN52"/>
  <sheetViews>
    <sheetView zoomScale="60" zoomScaleNormal="60" workbookViewId="0">
      <pane ySplit="1" topLeftCell="A2" activePane="bottomLeft" state="frozen"/>
      <selection pane="bottomLeft" activeCell="A18" sqref="A18"/>
    </sheetView>
  </sheetViews>
  <sheetFormatPr defaultColWidth="9.109375" defaultRowHeight="13.8"/>
  <cols>
    <col min="1" max="1" width="5.5546875" style="389" customWidth="1"/>
    <col min="2" max="2" width="7.5546875" style="389" bestFit="1" customWidth="1"/>
    <col min="3" max="3" width="7.44140625" style="389" customWidth="1"/>
    <col min="4" max="4" width="9" style="389" customWidth="1"/>
    <col min="5" max="5" width="7.109375" style="389" customWidth="1"/>
    <col min="6" max="6" width="11.6640625" style="389" customWidth="1"/>
    <col min="7" max="41" width="6.44140625" style="389" customWidth="1"/>
    <col min="42" max="42" width="3.88671875" style="389" customWidth="1"/>
    <col min="43" max="43" width="3.44140625" style="389" bestFit="1" customWidth="1"/>
    <col min="44" max="44" width="11.21875" style="389" bestFit="1" customWidth="1"/>
    <col min="45" max="45" width="5.6640625" style="389" bestFit="1" customWidth="1"/>
    <col min="46" max="46" width="2.44140625" style="389" customWidth="1"/>
    <col min="47" max="47" width="11" style="389" customWidth="1"/>
    <col min="48" max="48" width="5.44140625" style="389" bestFit="1" customWidth="1"/>
    <col min="49" max="49" width="2.44140625" style="389" customWidth="1"/>
    <col min="50" max="50" width="12.109375" style="389" customWidth="1"/>
    <col min="51" max="51" width="5.6640625" style="389" bestFit="1" customWidth="1"/>
    <col min="52" max="52" width="1.5546875" style="389" customWidth="1"/>
    <col min="53" max="53" width="12.6640625" style="389" customWidth="1"/>
    <col min="54" max="54" width="5.6640625" style="389" bestFit="1" customWidth="1"/>
    <col min="55" max="55" width="2.109375" style="389" customWidth="1"/>
    <col min="56" max="56" width="13.5546875" style="389" customWidth="1"/>
    <col min="57" max="57" width="6.21875" style="389" bestFit="1" customWidth="1"/>
    <col min="58" max="58" width="1.88671875" style="389" customWidth="1"/>
    <col min="59" max="59" width="12.6640625" style="389" customWidth="1"/>
    <col min="60" max="60" width="5.6640625" style="389" bestFit="1" customWidth="1"/>
    <col min="61" max="61" width="2.109375" style="389" customWidth="1"/>
    <col min="62" max="62" width="10.6640625" style="389" bestFit="1" customWidth="1"/>
    <col min="63" max="63" width="5.6640625" style="389" bestFit="1" customWidth="1"/>
    <col min="64" max="64" width="2.44140625" style="389" customWidth="1"/>
    <col min="65" max="65" width="10.6640625" style="389" bestFit="1" customWidth="1"/>
    <col min="66" max="66" width="5.6640625" style="389" bestFit="1" customWidth="1"/>
    <col min="67" max="16384" width="9.109375" style="389"/>
  </cols>
  <sheetData>
    <row r="1" spans="1:41" ht="35.4" customHeight="1">
      <c r="A1" s="546" t="s">
        <v>860</v>
      </c>
      <c r="B1" s="547"/>
      <c r="C1" s="547" t="s">
        <v>861</v>
      </c>
      <c r="D1" s="547"/>
      <c r="E1" s="547"/>
      <c r="F1" s="547" t="s">
        <v>862</v>
      </c>
      <c r="G1" s="542" t="s">
        <v>863</v>
      </c>
      <c r="H1" s="542" t="s">
        <v>864</v>
      </c>
      <c r="I1" s="542">
        <v>2</v>
      </c>
      <c r="J1" s="542" t="s">
        <v>865</v>
      </c>
      <c r="K1" s="542" t="s">
        <v>866</v>
      </c>
      <c r="L1" s="542" t="s">
        <v>867</v>
      </c>
      <c r="M1" s="542" t="s">
        <v>868</v>
      </c>
      <c r="N1" s="542" t="s">
        <v>869</v>
      </c>
      <c r="O1" s="542">
        <v>4</v>
      </c>
      <c r="P1" s="542" t="s">
        <v>870</v>
      </c>
      <c r="Q1" s="542">
        <v>5</v>
      </c>
      <c r="R1" s="542" t="s">
        <v>871</v>
      </c>
      <c r="S1" s="542" t="s">
        <v>872</v>
      </c>
      <c r="T1" s="542" t="s">
        <v>873</v>
      </c>
      <c r="U1" s="542">
        <v>8</v>
      </c>
      <c r="V1" s="542" t="s">
        <v>874</v>
      </c>
      <c r="W1" s="542">
        <v>10</v>
      </c>
      <c r="X1" s="542">
        <v>11</v>
      </c>
      <c r="Y1" s="542" t="s">
        <v>875</v>
      </c>
      <c r="Z1" s="542" t="s">
        <v>876</v>
      </c>
      <c r="AA1" s="542">
        <v>16</v>
      </c>
      <c r="AB1" s="542" t="s">
        <v>877</v>
      </c>
      <c r="AC1" s="542">
        <v>20</v>
      </c>
      <c r="AD1" s="542" t="s">
        <v>878</v>
      </c>
      <c r="AE1" s="542">
        <v>25</v>
      </c>
      <c r="AF1" s="542">
        <v>28</v>
      </c>
      <c r="AG1" s="542">
        <v>30</v>
      </c>
      <c r="AH1" s="542">
        <v>32</v>
      </c>
      <c r="AI1" s="542">
        <v>36</v>
      </c>
      <c r="AJ1" s="542">
        <v>40</v>
      </c>
      <c r="AK1" s="542">
        <v>45</v>
      </c>
      <c r="AL1" s="542">
        <v>50</v>
      </c>
      <c r="AM1" s="542">
        <v>55</v>
      </c>
      <c r="AN1" s="542">
        <v>60</v>
      </c>
      <c r="AO1" s="549">
        <v>65</v>
      </c>
    </row>
    <row r="2" spans="1:41" ht="20.25" customHeight="1" thickBot="1">
      <c r="A2" s="422" t="s">
        <v>22</v>
      </c>
      <c r="B2" s="423" t="s">
        <v>879</v>
      </c>
      <c r="C2" s="423" t="s">
        <v>880</v>
      </c>
      <c r="D2" s="423" t="s">
        <v>881</v>
      </c>
      <c r="E2" s="423" t="s">
        <v>882</v>
      </c>
      <c r="F2" s="548"/>
      <c r="G2" s="543"/>
      <c r="H2" s="543"/>
      <c r="I2" s="543"/>
      <c r="J2" s="543"/>
      <c r="K2" s="543"/>
      <c r="L2" s="543"/>
      <c r="M2" s="543"/>
      <c r="N2" s="543"/>
      <c r="O2" s="543"/>
      <c r="P2" s="543"/>
      <c r="Q2" s="543"/>
      <c r="R2" s="543"/>
      <c r="S2" s="543"/>
      <c r="T2" s="543"/>
      <c r="U2" s="543"/>
      <c r="V2" s="543"/>
      <c r="W2" s="543"/>
      <c r="X2" s="543"/>
      <c r="Y2" s="543"/>
      <c r="Z2" s="543"/>
      <c r="AA2" s="543"/>
      <c r="AB2" s="543"/>
      <c r="AC2" s="543"/>
      <c r="AD2" s="543"/>
      <c r="AE2" s="543"/>
      <c r="AF2" s="543"/>
      <c r="AG2" s="543"/>
      <c r="AH2" s="543"/>
      <c r="AI2" s="543"/>
      <c r="AJ2" s="543"/>
      <c r="AK2" s="543"/>
      <c r="AL2" s="543"/>
      <c r="AM2" s="543"/>
      <c r="AN2" s="543"/>
      <c r="AO2" s="550"/>
    </row>
    <row r="3" spans="1:41" ht="20.25" customHeight="1">
      <c r="A3" s="419"/>
      <c r="B3" s="405" t="s">
        <v>884</v>
      </c>
      <c r="C3" s="409">
        <v>10.199999999999999</v>
      </c>
      <c r="D3" s="410"/>
      <c r="E3" s="410"/>
      <c r="F3" s="411">
        <v>1.6</v>
      </c>
      <c r="G3" s="397">
        <v>0.33900000000000002</v>
      </c>
      <c r="H3" s="398">
        <v>0.373</v>
      </c>
      <c r="I3" s="398">
        <v>0.40400000000000003</v>
      </c>
      <c r="J3" s="398">
        <v>0.44800000000000001</v>
      </c>
      <c r="K3" s="398">
        <v>0.48699999999999999</v>
      </c>
      <c r="L3" s="398"/>
      <c r="M3" s="398"/>
      <c r="N3" s="398"/>
      <c r="O3" s="398"/>
      <c r="P3" s="398"/>
      <c r="Q3" s="398"/>
      <c r="R3" s="398"/>
      <c r="S3" s="398"/>
      <c r="T3" s="398"/>
      <c r="U3" s="398"/>
      <c r="V3" s="398"/>
      <c r="W3" s="398"/>
      <c r="X3" s="398"/>
      <c r="Y3" s="398"/>
      <c r="Z3" s="390"/>
      <c r="AA3" s="390"/>
      <c r="AB3" s="390"/>
      <c r="AC3" s="390"/>
      <c r="AD3" s="390"/>
      <c r="AE3" s="390"/>
      <c r="AF3" s="390"/>
      <c r="AG3" s="390"/>
      <c r="AH3" s="390"/>
      <c r="AI3" s="390"/>
      <c r="AJ3" s="390"/>
      <c r="AK3" s="390"/>
      <c r="AL3" s="390"/>
      <c r="AM3" s="390"/>
      <c r="AN3" s="390"/>
      <c r="AO3" s="399"/>
    </row>
    <row r="4" spans="1:41" ht="20.25" customHeight="1">
      <c r="A4" s="420"/>
      <c r="B4" s="406" t="s">
        <v>885</v>
      </c>
      <c r="C4" s="412">
        <v>13.5</v>
      </c>
      <c r="D4" s="413"/>
      <c r="E4" s="413"/>
      <c r="F4" s="414">
        <v>1.8</v>
      </c>
      <c r="G4" s="400"/>
      <c r="H4" s="401">
        <v>0.51900000000000002</v>
      </c>
      <c r="I4" s="401">
        <v>0.56699999999999995</v>
      </c>
      <c r="J4" s="401">
        <v>0.63500000000000001</v>
      </c>
      <c r="K4" s="401">
        <v>0.69899999999999995</v>
      </c>
      <c r="L4" s="401">
        <v>0.75800000000000001</v>
      </c>
      <c r="M4" s="401">
        <v>0.81299999999999994</v>
      </c>
      <c r="N4" s="401">
        <v>0.879</v>
      </c>
      <c r="O4" s="401"/>
      <c r="P4" s="401"/>
      <c r="Q4" s="401"/>
      <c r="R4" s="401"/>
      <c r="S4" s="401"/>
      <c r="T4" s="401"/>
      <c r="U4" s="401"/>
      <c r="V4" s="401"/>
      <c r="W4" s="401"/>
      <c r="X4" s="401"/>
      <c r="Y4" s="401"/>
      <c r="Z4" s="392"/>
      <c r="AA4" s="392"/>
      <c r="AB4" s="392"/>
      <c r="AC4" s="392"/>
      <c r="AD4" s="392"/>
      <c r="AE4" s="392"/>
      <c r="AF4" s="392"/>
      <c r="AG4" s="392"/>
      <c r="AH4" s="392"/>
      <c r="AI4" s="392"/>
      <c r="AJ4" s="392"/>
      <c r="AK4" s="392"/>
      <c r="AL4" s="392"/>
      <c r="AM4" s="392"/>
      <c r="AN4" s="392"/>
      <c r="AO4" s="402"/>
    </row>
    <row r="5" spans="1:41" ht="20.25" customHeight="1">
      <c r="A5" s="420"/>
      <c r="B5" s="407"/>
      <c r="C5" s="413"/>
      <c r="D5" s="413">
        <v>16</v>
      </c>
      <c r="E5" s="413"/>
      <c r="F5" s="414">
        <v>1.8</v>
      </c>
      <c r="G5" s="400"/>
      <c r="H5" s="401">
        <v>0.63</v>
      </c>
      <c r="I5" s="401">
        <v>0.69099999999999995</v>
      </c>
      <c r="J5" s="401">
        <v>0.77700000000000002</v>
      </c>
      <c r="K5" s="401">
        <v>0.85899999999999999</v>
      </c>
      <c r="L5" s="401">
        <v>0.93700000000000006</v>
      </c>
      <c r="M5" s="401">
        <v>1.01</v>
      </c>
      <c r="N5" s="401">
        <v>1.1000000000000001</v>
      </c>
      <c r="O5" s="401">
        <v>1.18</v>
      </c>
      <c r="P5" s="401"/>
      <c r="Q5" s="401"/>
      <c r="R5" s="401"/>
      <c r="S5" s="401"/>
      <c r="T5" s="401"/>
      <c r="U5" s="401"/>
      <c r="V5" s="401"/>
      <c r="W5" s="401"/>
      <c r="X5" s="401"/>
      <c r="Y5" s="401"/>
      <c r="Z5" s="392"/>
      <c r="AA5" s="392"/>
      <c r="AB5" s="392"/>
      <c r="AC5" s="392"/>
      <c r="AD5" s="392"/>
      <c r="AE5" s="392"/>
      <c r="AF5" s="392"/>
      <c r="AG5" s="392"/>
      <c r="AH5" s="392"/>
      <c r="AI5" s="392"/>
      <c r="AJ5" s="392"/>
      <c r="AK5" s="392"/>
      <c r="AL5" s="392"/>
      <c r="AM5" s="392"/>
      <c r="AN5" s="392"/>
      <c r="AO5" s="402"/>
    </row>
    <row r="6" spans="1:41" ht="20.25" customHeight="1">
      <c r="A6" s="420">
        <v>10</v>
      </c>
      <c r="B6" s="406" t="s">
        <v>886</v>
      </c>
      <c r="C6" s="412">
        <v>17.2</v>
      </c>
      <c r="D6" s="413"/>
      <c r="E6" s="413"/>
      <c r="F6" s="414">
        <v>1.8</v>
      </c>
      <c r="G6" s="400"/>
      <c r="H6" s="401">
        <v>0.68400000000000005</v>
      </c>
      <c r="I6" s="401">
        <v>0.75</v>
      </c>
      <c r="J6" s="401">
        <v>0.84499999999999997</v>
      </c>
      <c r="K6" s="401">
        <v>0.93600000000000005</v>
      </c>
      <c r="L6" s="401">
        <v>1.02</v>
      </c>
      <c r="M6" s="401">
        <v>1.1000000000000001</v>
      </c>
      <c r="N6" s="401">
        <v>1.21</v>
      </c>
      <c r="O6" s="401">
        <v>1.3</v>
      </c>
      <c r="P6" s="401">
        <v>1.41</v>
      </c>
      <c r="Q6" s="401"/>
      <c r="R6" s="401"/>
      <c r="S6" s="401"/>
      <c r="T6" s="401"/>
      <c r="U6" s="401"/>
      <c r="V6" s="401"/>
      <c r="W6" s="401"/>
      <c r="X6" s="401"/>
      <c r="Y6" s="401"/>
      <c r="Z6" s="392"/>
      <c r="AA6" s="392"/>
      <c r="AB6" s="392"/>
      <c r="AC6" s="392"/>
      <c r="AD6" s="392"/>
      <c r="AE6" s="392"/>
      <c r="AF6" s="392"/>
      <c r="AG6" s="392"/>
      <c r="AH6" s="392"/>
      <c r="AI6" s="392"/>
      <c r="AJ6" s="392"/>
      <c r="AK6" s="392"/>
      <c r="AL6" s="392"/>
      <c r="AM6" s="392"/>
      <c r="AN6" s="392"/>
      <c r="AO6" s="402"/>
    </row>
    <row r="7" spans="1:41" ht="20.25" customHeight="1">
      <c r="A7" s="420"/>
      <c r="B7" s="407"/>
      <c r="C7" s="413"/>
      <c r="D7" s="413">
        <v>19</v>
      </c>
      <c r="E7" s="413"/>
      <c r="F7" s="414">
        <v>2</v>
      </c>
      <c r="G7" s="400"/>
      <c r="H7" s="401"/>
      <c r="I7" s="401">
        <v>0.83799999999999997</v>
      </c>
      <c r="J7" s="401">
        <v>0.94699999999999995</v>
      </c>
      <c r="K7" s="401">
        <v>1.05</v>
      </c>
      <c r="L7" s="401">
        <v>1.1499999999999999</v>
      </c>
      <c r="M7" s="401">
        <v>1.25</v>
      </c>
      <c r="N7" s="401">
        <v>1.37</v>
      </c>
      <c r="O7" s="401">
        <v>1.48</v>
      </c>
      <c r="P7" s="401">
        <v>1.61</v>
      </c>
      <c r="Q7" s="401">
        <v>1.73</v>
      </c>
      <c r="R7" s="401"/>
      <c r="S7" s="401"/>
      <c r="T7" s="401"/>
      <c r="U7" s="401"/>
      <c r="V7" s="401"/>
      <c r="W7" s="401"/>
      <c r="X7" s="401"/>
      <c r="Y7" s="401"/>
      <c r="Z7" s="392"/>
      <c r="AA7" s="392"/>
      <c r="AB7" s="392"/>
      <c r="AC7" s="392"/>
      <c r="AD7" s="392"/>
      <c r="AE7" s="392"/>
      <c r="AF7" s="392"/>
      <c r="AG7" s="392"/>
      <c r="AH7" s="392"/>
      <c r="AI7" s="392"/>
      <c r="AJ7" s="392"/>
      <c r="AK7" s="392"/>
      <c r="AL7" s="392"/>
      <c r="AM7" s="392"/>
      <c r="AN7" s="392"/>
      <c r="AO7" s="402"/>
    </row>
    <row r="8" spans="1:41" ht="20.25" customHeight="1">
      <c r="A8" s="420"/>
      <c r="B8" s="407"/>
      <c r="C8" s="413"/>
      <c r="D8" s="413">
        <v>20</v>
      </c>
      <c r="E8" s="413"/>
      <c r="F8" s="414">
        <v>2</v>
      </c>
      <c r="G8" s="400"/>
      <c r="H8" s="401"/>
      <c r="I8" s="401">
        <v>0.88800000000000001</v>
      </c>
      <c r="J8" s="401">
        <v>1</v>
      </c>
      <c r="K8" s="401">
        <v>1.1200000000000001</v>
      </c>
      <c r="L8" s="401">
        <v>1.22</v>
      </c>
      <c r="M8" s="401">
        <v>1.33</v>
      </c>
      <c r="N8" s="401">
        <v>1.46</v>
      </c>
      <c r="O8" s="401">
        <v>1.58</v>
      </c>
      <c r="P8" s="401">
        <v>1.72</v>
      </c>
      <c r="Q8" s="401">
        <v>1.85</v>
      </c>
      <c r="R8" s="401"/>
      <c r="S8" s="401"/>
      <c r="T8" s="401"/>
      <c r="U8" s="401"/>
      <c r="V8" s="401"/>
      <c r="W8" s="401"/>
      <c r="X8" s="401"/>
      <c r="Y8" s="401"/>
      <c r="Z8" s="392"/>
      <c r="AA8" s="392"/>
      <c r="AB8" s="392"/>
      <c r="AC8" s="392"/>
      <c r="AD8" s="392"/>
      <c r="AE8" s="392"/>
      <c r="AF8" s="392"/>
      <c r="AG8" s="392"/>
      <c r="AH8" s="392"/>
      <c r="AI8" s="392"/>
      <c r="AJ8" s="392"/>
      <c r="AK8" s="392"/>
      <c r="AL8" s="392"/>
      <c r="AM8" s="392"/>
      <c r="AN8" s="392"/>
      <c r="AO8" s="402"/>
    </row>
    <row r="9" spans="1:41" ht="20.25" customHeight="1">
      <c r="A9" s="420">
        <v>15</v>
      </c>
      <c r="B9" s="406" t="s">
        <v>887</v>
      </c>
      <c r="C9" s="412">
        <v>21.3</v>
      </c>
      <c r="D9" s="413"/>
      <c r="E9" s="413"/>
      <c r="F9" s="414">
        <v>2</v>
      </c>
      <c r="G9" s="400"/>
      <c r="H9" s="401"/>
      <c r="I9" s="401">
        <v>0.95199999999999996</v>
      </c>
      <c r="J9" s="401">
        <v>1.08</v>
      </c>
      <c r="K9" s="401">
        <v>1.2</v>
      </c>
      <c r="L9" s="401">
        <v>1.32</v>
      </c>
      <c r="M9" s="401">
        <v>1.43</v>
      </c>
      <c r="N9" s="401">
        <v>1.57</v>
      </c>
      <c r="O9" s="401">
        <v>1.71</v>
      </c>
      <c r="P9" s="401">
        <v>1.86</v>
      </c>
      <c r="Q9" s="401">
        <v>2.0099999999999998</v>
      </c>
      <c r="R9" s="401"/>
      <c r="S9" s="401"/>
      <c r="T9" s="401"/>
      <c r="U9" s="401"/>
      <c r="V9" s="401"/>
      <c r="W9" s="401"/>
      <c r="X9" s="401"/>
      <c r="Y9" s="401"/>
      <c r="Z9" s="392"/>
      <c r="AA9" s="392"/>
      <c r="AB9" s="392"/>
      <c r="AC9" s="392"/>
      <c r="AD9" s="392"/>
      <c r="AE9" s="392"/>
      <c r="AF9" s="392"/>
      <c r="AG9" s="392"/>
      <c r="AH9" s="392"/>
      <c r="AI9" s="392"/>
      <c r="AJ9" s="392"/>
      <c r="AK9" s="392"/>
      <c r="AL9" s="392"/>
      <c r="AM9" s="392"/>
      <c r="AN9" s="392"/>
      <c r="AO9" s="402"/>
    </row>
    <row r="10" spans="1:41" ht="20.25" customHeight="1">
      <c r="A10" s="420"/>
      <c r="B10" s="407"/>
      <c r="C10" s="413"/>
      <c r="D10" s="413">
        <v>25</v>
      </c>
      <c r="E10" s="413"/>
      <c r="F10" s="414">
        <v>2</v>
      </c>
      <c r="G10" s="400"/>
      <c r="H10" s="401"/>
      <c r="I10" s="401">
        <v>1.1299999999999999</v>
      </c>
      <c r="J10" s="401">
        <v>1.29</v>
      </c>
      <c r="K10" s="401">
        <v>1.44</v>
      </c>
      <c r="L10" s="401">
        <v>1.58</v>
      </c>
      <c r="M10" s="401">
        <v>1.72</v>
      </c>
      <c r="N10" s="401">
        <v>1.9</v>
      </c>
      <c r="O10" s="401">
        <v>2.0699999999999998</v>
      </c>
      <c r="P10" s="401">
        <v>2.2799999999999998</v>
      </c>
      <c r="Q10" s="401">
        <v>2.4700000000000002</v>
      </c>
      <c r="R10" s="401">
        <v>2.68</v>
      </c>
      <c r="S10" s="401">
        <v>2.91</v>
      </c>
      <c r="T10" s="401"/>
      <c r="U10" s="401"/>
      <c r="V10" s="401"/>
      <c r="W10" s="401"/>
      <c r="X10" s="401"/>
      <c r="Y10" s="401"/>
      <c r="Z10" s="392"/>
      <c r="AA10" s="392"/>
      <c r="AB10" s="392"/>
      <c r="AC10" s="392"/>
      <c r="AD10" s="392"/>
      <c r="AE10" s="392"/>
      <c r="AF10" s="392"/>
      <c r="AG10" s="392"/>
      <c r="AH10" s="392"/>
      <c r="AI10" s="392"/>
      <c r="AJ10" s="392"/>
      <c r="AK10" s="392"/>
      <c r="AL10" s="392"/>
      <c r="AM10" s="392"/>
      <c r="AN10" s="392"/>
      <c r="AO10" s="402"/>
    </row>
    <row r="11" spans="1:41" ht="20.25" customHeight="1">
      <c r="A11" s="420"/>
      <c r="B11" s="407"/>
      <c r="C11" s="413"/>
      <c r="D11" s="413"/>
      <c r="E11" s="412">
        <v>25.4</v>
      </c>
      <c r="F11" s="414">
        <v>2</v>
      </c>
      <c r="G11" s="400"/>
      <c r="H11" s="401"/>
      <c r="I11" s="401">
        <v>1.1499999999999999</v>
      </c>
      <c r="J11" s="401">
        <v>1.31</v>
      </c>
      <c r="K11" s="401">
        <v>1.46</v>
      </c>
      <c r="L11" s="401">
        <v>1.61</v>
      </c>
      <c r="M11" s="401">
        <v>1.75</v>
      </c>
      <c r="N11" s="401">
        <v>1.94</v>
      </c>
      <c r="O11" s="401">
        <v>2.11</v>
      </c>
      <c r="P11" s="401">
        <v>2.3199999999999998</v>
      </c>
      <c r="Q11" s="401">
        <v>2.52</v>
      </c>
      <c r="R11" s="401">
        <v>2.73</v>
      </c>
      <c r="S11" s="401">
        <v>2.97</v>
      </c>
      <c r="T11" s="401"/>
      <c r="U11" s="401"/>
      <c r="V11" s="401"/>
      <c r="W11" s="401"/>
      <c r="X11" s="401"/>
      <c r="Y11" s="401"/>
      <c r="Z11" s="392"/>
      <c r="AA11" s="392"/>
      <c r="AB11" s="392"/>
      <c r="AC11" s="392"/>
      <c r="AD11" s="392"/>
      <c r="AE11" s="392"/>
      <c r="AF11" s="392"/>
      <c r="AG11" s="392"/>
      <c r="AH11" s="392"/>
      <c r="AI11" s="392"/>
      <c r="AJ11" s="392"/>
      <c r="AK11" s="392"/>
      <c r="AL11" s="392"/>
      <c r="AM11" s="392"/>
      <c r="AN11" s="392"/>
      <c r="AO11" s="402"/>
    </row>
    <row r="12" spans="1:41" ht="20.25" customHeight="1">
      <c r="A12" s="420">
        <v>20</v>
      </c>
      <c r="B12" s="406" t="s">
        <v>771</v>
      </c>
      <c r="C12" s="412">
        <v>26.9</v>
      </c>
      <c r="D12" s="413"/>
      <c r="E12" s="413"/>
      <c r="F12" s="414">
        <v>2.2999999999999998</v>
      </c>
      <c r="G12" s="400"/>
      <c r="H12" s="401"/>
      <c r="I12" s="401">
        <v>1.23</v>
      </c>
      <c r="J12" s="401">
        <v>1.4</v>
      </c>
      <c r="K12" s="401">
        <v>1.56</v>
      </c>
      <c r="L12" s="401">
        <v>1.72</v>
      </c>
      <c r="M12" s="401">
        <v>1.87</v>
      </c>
      <c r="N12" s="401">
        <v>2.0699999999999998</v>
      </c>
      <c r="O12" s="401">
        <v>2.2599999999999998</v>
      </c>
      <c r="P12" s="401">
        <v>2.4900000000000002</v>
      </c>
      <c r="Q12" s="401">
        <v>2.7</v>
      </c>
      <c r="R12" s="401">
        <v>2.94</v>
      </c>
      <c r="S12" s="401">
        <v>3.2</v>
      </c>
      <c r="T12" s="401">
        <v>3.47</v>
      </c>
      <c r="U12" s="401"/>
      <c r="V12" s="401"/>
      <c r="W12" s="401"/>
      <c r="X12" s="401"/>
      <c r="Y12" s="401"/>
      <c r="Z12" s="392"/>
      <c r="AA12" s="392"/>
      <c r="AB12" s="392"/>
      <c r="AC12" s="392"/>
      <c r="AD12" s="392"/>
      <c r="AE12" s="392"/>
      <c r="AF12" s="392"/>
      <c r="AG12" s="392"/>
      <c r="AH12" s="392"/>
      <c r="AI12" s="392"/>
      <c r="AJ12" s="392"/>
      <c r="AK12" s="392"/>
      <c r="AL12" s="392"/>
      <c r="AM12" s="392"/>
      <c r="AN12" s="392"/>
      <c r="AO12" s="402"/>
    </row>
    <row r="13" spans="1:41" ht="20.25" customHeight="1">
      <c r="A13" s="420"/>
      <c r="B13" s="407"/>
      <c r="C13" s="413"/>
      <c r="D13" s="413"/>
      <c r="E13" s="413">
        <v>30</v>
      </c>
      <c r="F13" s="414">
        <v>2.6</v>
      </c>
      <c r="G13" s="400"/>
      <c r="H13" s="401"/>
      <c r="I13" s="401"/>
      <c r="J13" s="401">
        <v>1.57</v>
      </c>
      <c r="K13" s="401">
        <v>1.76</v>
      </c>
      <c r="L13" s="401">
        <v>1.94</v>
      </c>
      <c r="M13" s="401">
        <v>2.11</v>
      </c>
      <c r="N13" s="401">
        <v>2.34</v>
      </c>
      <c r="O13" s="401">
        <v>2.56</v>
      </c>
      <c r="P13" s="401">
        <v>2.83</v>
      </c>
      <c r="Q13" s="401">
        <v>3.08</v>
      </c>
      <c r="R13" s="401">
        <v>3.37</v>
      </c>
      <c r="S13" s="401">
        <v>3.68</v>
      </c>
      <c r="T13" s="401">
        <v>4.01</v>
      </c>
      <c r="U13" s="401"/>
      <c r="V13" s="401"/>
      <c r="W13" s="401"/>
      <c r="X13" s="401"/>
      <c r="Y13" s="401"/>
      <c r="Z13" s="392"/>
      <c r="AA13" s="392"/>
      <c r="AB13" s="392"/>
      <c r="AC13" s="392"/>
      <c r="AD13" s="392"/>
      <c r="AE13" s="392"/>
      <c r="AF13" s="392"/>
      <c r="AG13" s="392"/>
      <c r="AH13" s="392"/>
      <c r="AI13" s="392"/>
      <c r="AJ13" s="392"/>
      <c r="AK13" s="392"/>
      <c r="AL13" s="392"/>
      <c r="AM13" s="392"/>
      <c r="AN13" s="392"/>
      <c r="AO13" s="402"/>
    </row>
    <row r="14" spans="1:41" ht="20.25" customHeight="1">
      <c r="A14" s="420"/>
      <c r="B14" s="407"/>
      <c r="C14" s="413"/>
      <c r="D14" s="412">
        <v>31.8</v>
      </c>
      <c r="E14" s="413"/>
      <c r="F14" s="414">
        <v>2.6</v>
      </c>
      <c r="G14" s="400"/>
      <c r="H14" s="401"/>
      <c r="I14" s="401"/>
      <c r="J14" s="401">
        <v>1.67</v>
      </c>
      <c r="K14" s="401">
        <v>1.87</v>
      </c>
      <c r="L14" s="401">
        <v>2.0699999999999998</v>
      </c>
      <c r="M14" s="401">
        <v>2.2599999999999998</v>
      </c>
      <c r="N14" s="401">
        <v>2.5</v>
      </c>
      <c r="O14" s="401">
        <v>2.74</v>
      </c>
      <c r="P14" s="401">
        <v>3.03</v>
      </c>
      <c r="Q14" s="401">
        <v>3.3</v>
      </c>
      <c r="R14" s="401">
        <v>3.62</v>
      </c>
      <c r="S14" s="401">
        <v>3.96</v>
      </c>
      <c r="T14" s="401">
        <v>4.32</v>
      </c>
      <c r="U14" s="401">
        <v>4.7</v>
      </c>
      <c r="V14" s="401"/>
      <c r="W14" s="401"/>
      <c r="X14" s="401"/>
      <c r="Y14" s="401"/>
      <c r="Z14" s="392"/>
      <c r="AA14" s="392"/>
      <c r="AB14" s="392"/>
      <c r="AC14" s="392"/>
      <c r="AD14" s="392"/>
      <c r="AE14" s="392"/>
      <c r="AF14" s="392"/>
      <c r="AG14" s="392"/>
      <c r="AH14" s="392"/>
      <c r="AI14" s="392"/>
      <c r="AJ14" s="392"/>
      <c r="AK14" s="392"/>
      <c r="AL14" s="392"/>
      <c r="AM14" s="392"/>
      <c r="AN14" s="392"/>
      <c r="AO14" s="402"/>
    </row>
    <row r="15" spans="1:41" ht="20.25" customHeight="1">
      <c r="A15" s="420">
        <v>25</v>
      </c>
      <c r="B15" s="407">
        <v>1</v>
      </c>
      <c r="C15" s="412">
        <v>33.700000000000003</v>
      </c>
      <c r="D15" s="413"/>
      <c r="E15" s="413"/>
      <c r="F15" s="414">
        <v>2.6</v>
      </c>
      <c r="G15" s="400"/>
      <c r="H15" s="401"/>
      <c r="I15" s="401"/>
      <c r="J15" s="401">
        <v>1.78</v>
      </c>
      <c r="K15" s="401">
        <v>1.99</v>
      </c>
      <c r="L15" s="401">
        <v>2.2000000000000002</v>
      </c>
      <c r="M15" s="401">
        <v>2.41</v>
      </c>
      <c r="N15" s="401">
        <v>2.67</v>
      </c>
      <c r="O15" s="401">
        <v>2.93</v>
      </c>
      <c r="P15" s="401">
        <v>3.24</v>
      </c>
      <c r="Q15" s="401">
        <v>3.54</v>
      </c>
      <c r="R15" s="401">
        <v>3.88</v>
      </c>
      <c r="S15" s="401">
        <v>4.26</v>
      </c>
      <c r="T15" s="401">
        <v>4.66</v>
      </c>
      <c r="U15" s="401">
        <v>5.07</v>
      </c>
      <c r="V15" s="401"/>
      <c r="W15" s="401"/>
      <c r="X15" s="401"/>
      <c r="Y15" s="401"/>
      <c r="Z15" s="392"/>
      <c r="AA15" s="392"/>
      <c r="AB15" s="392"/>
      <c r="AC15" s="392"/>
      <c r="AD15" s="392"/>
      <c r="AE15" s="392"/>
      <c r="AF15" s="392"/>
      <c r="AG15" s="392"/>
      <c r="AH15" s="392"/>
      <c r="AI15" s="392"/>
      <c r="AJ15" s="392"/>
      <c r="AK15" s="392"/>
      <c r="AL15" s="392"/>
      <c r="AM15" s="392"/>
      <c r="AN15" s="392"/>
      <c r="AO15" s="402"/>
    </row>
    <row r="16" spans="1:41" ht="20.25" customHeight="1">
      <c r="A16" s="420"/>
      <c r="B16" s="407"/>
      <c r="C16" s="413"/>
      <c r="D16" s="413">
        <v>38</v>
      </c>
      <c r="E16" s="413"/>
      <c r="F16" s="414">
        <v>2.6</v>
      </c>
      <c r="G16" s="400"/>
      <c r="H16" s="401"/>
      <c r="I16" s="401"/>
      <c r="J16" s="401"/>
      <c r="K16" s="401">
        <v>2.27</v>
      </c>
      <c r="L16" s="401">
        <v>2.5099999999999998</v>
      </c>
      <c r="M16" s="401">
        <v>2.75</v>
      </c>
      <c r="N16" s="401">
        <v>3.05</v>
      </c>
      <c r="O16" s="401">
        <v>3.35</v>
      </c>
      <c r="P16" s="401">
        <v>3.72</v>
      </c>
      <c r="Q16" s="401">
        <v>4.07</v>
      </c>
      <c r="R16" s="401">
        <v>4.47</v>
      </c>
      <c r="S16" s="401">
        <v>4.93</v>
      </c>
      <c r="T16" s="401">
        <v>5.41</v>
      </c>
      <c r="U16" s="401">
        <v>5.92</v>
      </c>
      <c r="V16" s="401">
        <v>6.34</v>
      </c>
      <c r="W16" s="401"/>
      <c r="X16" s="401"/>
      <c r="Y16" s="401"/>
      <c r="Z16" s="392"/>
      <c r="AA16" s="392"/>
      <c r="AB16" s="392"/>
      <c r="AC16" s="392"/>
      <c r="AD16" s="392"/>
      <c r="AE16" s="392"/>
      <c r="AF16" s="392"/>
      <c r="AG16" s="392"/>
      <c r="AH16" s="392"/>
      <c r="AI16" s="392"/>
      <c r="AJ16" s="392"/>
      <c r="AK16" s="392"/>
      <c r="AL16" s="392"/>
      <c r="AM16" s="392"/>
      <c r="AN16" s="392"/>
      <c r="AO16" s="402"/>
    </row>
    <row r="17" spans="1:66" ht="20.25" customHeight="1">
      <c r="A17" s="420">
        <v>32</v>
      </c>
      <c r="B17" s="406" t="s">
        <v>888</v>
      </c>
      <c r="C17" s="415">
        <v>42.4</v>
      </c>
      <c r="D17" s="413"/>
      <c r="E17" s="413"/>
      <c r="F17" s="414">
        <v>2.6</v>
      </c>
      <c r="G17" s="400"/>
      <c r="H17" s="401"/>
      <c r="I17" s="401"/>
      <c r="J17" s="401"/>
      <c r="K17" s="401">
        <v>2.5499999999999998</v>
      </c>
      <c r="L17" s="401">
        <v>2.82</v>
      </c>
      <c r="M17" s="401">
        <v>3.09</v>
      </c>
      <c r="N17" s="401">
        <v>3.44</v>
      </c>
      <c r="O17" s="401">
        <v>3.79</v>
      </c>
      <c r="P17" s="401">
        <v>4.21</v>
      </c>
      <c r="Q17" s="401">
        <v>4.6100000000000003</v>
      </c>
      <c r="R17" s="401">
        <v>5.08</v>
      </c>
      <c r="S17" s="401">
        <v>5.61</v>
      </c>
      <c r="T17" s="401">
        <v>6.18</v>
      </c>
      <c r="U17" s="401">
        <v>6.79</v>
      </c>
      <c r="V17" s="401">
        <v>7.29</v>
      </c>
      <c r="W17" s="401">
        <v>7.99</v>
      </c>
      <c r="X17" s="401"/>
      <c r="Y17" s="401"/>
      <c r="Z17" s="392"/>
      <c r="AA17" s="392"/>
      <c r="AB17" s="392"/>
      <c r="AC17" s="392"/>
      <c r="AD17" s="392"/>
      <c r="AE17" s="392"/>
      <c r="AF17" s="392"/>
      <c r="AG17" s="392"/>
      <c r="AH17" s="392"/>
      <c r="AI17" s="392"/>
      <c r="AJ17" s="392"/>
      <c r="AK17" s="392"/>
      <c r="AL17" s="392"/>
      <c r="AM17" s="392"/>
      <c r="AN17" s="392"/>
      <c r="AO17" s="402"/>
    </row>
    <row r="18" spans="1:66" ht="20.25" customHeight="1">
      <c r="A18" s="420"/>
      <c r="B18" s="407"/>
      <c r="C18" s="413"/>
      <c r="D18" s="413"/>
      <c r="E18" s="412">
        <v>44.5</v>
      </c>
      <c r="F18" s="414">
        <v>2.6</v>
      </c>
      <c r="G18" s="400"/>
      <c r="H18" s="401"/>
      <c r="I18" s="401"/>
      <c r="J18" s="401"/>
      <c r="K18" s="401">
        <v>2.69</v>
      </c>
      <c r="L18" s="401">
        <v>2.98</v>
      </c>
      <c r="M18" s="401">
        <v>3.26</v>
      </c>
      <c r="N18" s="401">
        <v>3.63</v>
      </c>
      <c r="O18" s="401">
        <v>4</v>
      </c>
      <c r="P18" s="401">
        <v>4.4400000000000004</v>
      </c>
      <c r="Q18" s="401">
        <v>4.87</v>
      </c>
      <c r="R18" s="401">
        <v>5.37</v>
      </c>
      <c r="S18" s="401">
        <v>5.94</v>
      </c>
      <c r="T18" s="401">
        <v>6.55</v>
      </c>
      <c r="U18" s="401">
        <v>7.2</v>
      </c>
      <c r="V18" s="401">
        <v>7.75</v>
      </c>
      <c r="W18" s="401">
        <v>8.51</v>
      </c>
      <c r="X18" s="401">
        <v>9.09</v>
      </c>
      <c r="Y18" s="401"/>
      <c r="Z18" s="392"/>
      <c r="AA18" s="392"/>
      <c r="AB18" s="392"/>
      <c r="AC18" s="392"/>
      <c r="AD18" s="392"/>
      <c r="AE18" s="392"/>
      <c r="AF18" s="392"/>
      <c r="AG18" s="392"/>
      <c r="AH18" s="392"/>
      <c r="AI18" s="392"/>
      <c r="AJ18" s="392"/>
      <c r="AK18" s="392"/>
      <c r="AL18" s="392"/>
      <c r="AM18" s="392"/>
      <c r="AN18" s="392"/>
      <c r="AO18" s="402"/>
    </row>
    <row r="19" spans="1:66" ht="20.25" customHeight="1">
      <c r="A19" s="420">
        <v>40</v>
      </c>
      <c r="B19" s="406" t="s">
        <v>889</v>
      </c>
      <c r="C19" s="415">
        <v>48.3</v>
      </c>
      <c r="D19" s="413"/>
      <c r="E19" s="413"/>
      <c r="F19" s="414">
        <v>2.6</v>
      </c>
      <c r="G19" s="400"/>
      <c r="H19" s="401"/>
      <c r="I19" s="401"/>
      <c r="J19" s="401"/>
      <c r="K19" s="403">
        <v>2.93</v>
      </c>
      <c r="L19" s="401">
        <v>3.25</v>
      </c>
      <c r="M19" s="401">
        <v>3.56</v>
      </c>
      <c r="N19" s="401">
        <v>3.97</v>
      </c>
      <c r="O19" s="401">
        <v>4.37</v>
      </c>
      <c r="P19" s="401">
        <v>4.8600000000000003</v>
      </c>
      <c r="Q19" s="401">
        <v>5.34</v>
      </c>
      <c r="R19" s="401">
        <v>5.9</v>
      </c>
      <c r="S19" s="401">
        <v>6.53</v>
      </c>
      <c r="T19" s="401">
        <v>7.21</v>
      </c>
      <c r="U19" s="401">
        <v>7.95</v>
      </c>
      <c r="V19" s="401">
        <v>8.57</v>
      </c>
      <c r="W19" s="401">
        <v>9.4499999999999993</v>
      </c>
      <c r="X19" s="401">
        <v>10.1</v>
      </c>
      <c r="Y19" s="401">
        <v>11</v>
      </c>
      <c r="Z19" s="392"/>
      <c r="AA19" s="392"/>
      <c r="AB19" s="392"/>
      <c r="AC19" s="392"/>
      <c r="AD19" s="392"/>
      <c r="AE19" s="392"/>
      <c r="AF19" s="392"/>
      <c r="AG19" s="392"/>
      <c r="AH19" s="392"/>
      <c r="AI19" s="392"/>
      <c r="AJ19" s="392"/>
      <c r="AK19" s="392"/>
      <c r="AL19" s="392"/>
      <c r="AM19" s="392"/>
      <c r="AN19" s="392"/>
      <c r="AO19" s="402"/>
    </row>
    <row r="20" spans="1:66" ht="20.25" customHeight="1">
      <c r="A20" s="420"/>
      <c r="B20" s="407"/>
      <c r="C20" s="413"/>
      <c r="D20" s="416">
        <v>51</v>
      </c>
      <c r="E20" s="413"/>
      <c r="F20" s="414">
        <v>2.6</v>
      </c>
      <c r="G20" s="391"/>
      <c r="H20" s="392"/>
      <c r="I20" s="392"/>
      <c r="J20" s="392"/>
      <c r="K20" s="403">
        <v>3.1</v>
      </c>
      <c r="L20" s="401">
        <v>3.44</v>
      </c>
      <c r="M20" s="401">
        <v>3.77</v>
      </c>
      <c r="N20" s="401">
        <v>4.21</v>
      </c>
      <c r="O20" s="401">
        <v>4.6399999999999997</v>
      </c>
      <c r="P20" s="401">
        <v>5.16</v>
      </c>
      <c r="Q20" s="401">
        <v>5.67</v>
      </c>
      <c r="R20" s="401">
        <v>6.27</v>
      </c>
      <c r="S20" s="401">
        <v>6.94</v>
      </c>
      <c r="T20" s="401">
        <v>7.69</v>
      </c>
      <c r="U20" s="401">
        <v>8.48</v>
      </c>
      <c r="V20" s="401">
        <v>9.16</v>
      </c>
      <c r="W20" s="401">
        <v>10.1</v>
      </c>
      <c r="X20" s="401">
        <v>10.9</v>
      </c>
      <c r="Y20" s="401">
        <v>11.9</v>
      </c>
      <c r="Z20" s="401">
        <v>12.9</v>
      </c>
      <c r="AA20" s="401"/>
      <c r="AB20" s="401"/>
      <c r="AC20" s="401"/>
      <c r="AD20" s="401"/>
      <c r="AE20" s="401"/>
      <c r="AF20" s="401"/>
      <c r="AG20" s="401"/>
      <c r="AH20" s="401"/>
      <c r="AI20" s="401"/>
      <c r="AJ20" s="401"/>
      <c r="AK20" s="401"/>
      <c r="AL20" s="401"/>
      <c r="AM20" s="401"/>
      <c r="AN20" s="401"/>
      <c r="AO20" s="393"/>
    </row>
    <row r="21" spans="1:66" ht="20.25" customHeight="1">
      <c r="A21" s="420"/>
      <c r="B21" s="407"/>
      <c r="C21" s="413"/>
      <c r="D21" s="413"/>
      <c r="E21" s="413">
        <v>54</v>
      </c>
      <c r="F21" s="414">
        <v>2.6</v>
      </c>
      <c r="G21" s="391"/>
      <c r="H21" s="392"/>
      <c r="I21" s="392"/>
      <c r="J21" s="392"/>
      <c r="K21" s="401">
        <v>3.3</v>
      </c>
      <c r="L21" s="401">
        <v>3.65</v>
      </c>
      <c r="M21" s="401">
        <v>4.01</v>
      </c>
      <c r="N21" s="401">
        <v>4.47</v>
      </c>
      <c r="O21" s="401">
        <v>4.93</v>
      </c>
      <c r="P21" s="401">
        <v>5.49</v>
      </c>
      <c r="Q21" s="401">
        <v>6.04</v>
      </c>
      <c r="R21" s="401">
        <v>6.68</v>
      </c>
      <c r="S21" s="401">
        <v>7.41</v>
      </c>
      <c r="T21" s="401">
        <v>8.2100000000000009</v>
      </c>
      <c r="U21" s="401">
        <v>9.08</v>
      </c>
      <c r="V21" s="401">
        <v>9.81</v>
      </c>
      <c r="W21" s="401">
        <v>10.9</v>
      </c>
      <c r="X21" s="401">
        <v>11.7</v>
      </c>
      <c r="Y21" s="401">
        <v>12.8</v>
      </c>
      <c r="Z21" s="401">
        <v>13.9</v>
      </c>
      <c r="AA21" s="401"/>
      <c r="AB21" s="401"/>
      <c r="AC21" s="401"/>
      <c r="AD21" s="401"/>
      <c r="AE21" s="401"/>
      <c r="AF21" s="401"/>
      <c r="AG21" s="401"/>
      <c r="AH21" s="401"/>
      <c r="AI21" s="401"/>
      <c r="AJ21" s="401"/>
      <c r="AK21" s="401"/>
      <c r="AL21" s="401"/>
      <c r="AM21" s="401"/>
      <c r="AN21" s="401"/>
      <c r="AO21" s="393"/>
    </row>
    <row r="22" spans="1:66" ht="20.25" customHeight="1">
      <c r="A22" s="420"/>
      <c r="B22" s="407"/>
      <c r="C22" s="413"/>
      <c r="D22" s="413">
        <v>57</v>
      </c>
      <c r="E22" s="413"/>
      <c r="F22" s="414">
        <v>2.9</v>
      </c>
      <c r="G22" s="391"/>
      <c r="H22" s="392"/>
      <c r="I22" s="392"/>
      <c r="J22" s="392"/>
      <c r="K22" s="401"/>
      <c r="L22" s="401">
        <v>3.87</v>
      </c>
      <c r="M22" s="401">
        <v>4.25</v>
      </c>
      <c r="N22" s="401">
        <v>4.74</v>
      </c>
      <c r="O22" s="401">
        <v>5.23</v>
      </c>
      <c r="P22" s="401">
        <v>5.83</v>
      </c>
      <c r="Q22" s="401">
        <v>6.41</v>
      </c>
      <c r="R22" s="401">
        <v>7.1</v>
      </c>
      <c r="S22" s="401">
        <v>7.88</v>
      </c>
      <c r="T22" s="401">
        <v>8.74</v>
      </c>
      <c r="U22" s="401">
        <v>9.67</v>
      </c>
      <c r="V22" s="401">
        <v>10.5</v>
      </c>
      <c r="W22" s="401">
        <v>11.6</v>
      </c>
      <c r="X22" s="401">
        <v>12.5</v>
      </c>
      <c r="Y22" s="401">
        <v>13.7</v>
      </c>
      <c r="Z22" s="401">
        <v>15</v>
      </c>
      <c r="AA22" s="401">
        <v>16.2</v>
      </c>
      <c r="AB22" s="401"/>
      <c r="AC22" s="401"/>
      <c r="AD22" s="401"/>
      <c r="AE22" s="401"/>
      <c r="AF22" s="401"/>
      <c r="AG22" s="401"/>
      <c r="AH22" s="401"/>
      <c r="AI22" s="401"/>
      <c r="AJ22" s="401"/>
      <c r="AK22" s="401"/>
      <c r="AL22" s="401"/>
      <c r="AM22" s="401"/>
      <c r="AN22" s="401"/>
      <c r="AO22" s="393"/>
    </row>
    <row r="23" spans="1:66" ht="20.25" customHeight="1">
      <c r="A23" s="420">
        <v>50</v>
      </c>
      <c r="B23" s="407">
        <v>2</v>
      </c>
      <c r="C23" s="412">
        <v>60.3</v>
      </c>
      <c r="D23" s="413"/>
      <c r="E23" s="413"/>
      <c r="F23" s="414">
        <v>2.9</v>
      </c>
      <c r="G23" s="391"/>
      <c r="H23" s="392"/>
      <c r="I23" s="392"/>
      <c r="J23" s="392"/>
      <c r="K23" s="401"/>
      <c r="L23" s="401">
        <v>4.1100000000000003</v>
      </c>
      <c r="M23" s="401">
        <v>4.51</v>
      </c>
      <c r="N23" s="401">
        <v>5.03</v>
      </c>
      <c r="O23" s="401">
        <v>5.55</v>
      </c>
      <c r="P23" s="401">
        <v>6.19</v>
      </c>
      <c r="Q23" s="401">
        <v>6.82</v>
      </c>
      <c r="R23" s="401">
        <v>7.55</v>
      </c>
      <c r="S23" s="401">
        <v>8.39</v>
      </c>
      <c r="T23" s="401">
        <v>9.32</v>
      </c>
      <c r="U23" s="401">
        <v>10.3</v>
      </c>
      <c r="V23" s="401">
        <v>11.2</v>
      </c>
      <c r="W23" s="401">
        <v>12.4</v>
      </c>
      <c r="X23" s="401">
        <v>13.4</v>
      </c>
      <c r="Y23" s="401">
        <v>14.7</v>
      </c>
      <c r="Z23" s="401">
        <v>16.100000000000001</v>
      </c>
      <c r="AA23" s="401">
        <v>17.5</v>
      </c>
      <c r="AB23" s="401">
        <v>18.5</v>
      </c>
      <c r="AC23" s="401"/>
      <c r="AD23" s="401"/>
      <c r="AE23" s="401"/>
      <c r="AF23" s="401"/>
      <c r="AG23" s="401"/>
      <c r="AH23" s="401"/>
      <c r="AI23" s="401"/>
      <c r="AJ23" s="401"/>
      <c r="AK23" s="401"/>
      <c r="AL23" s="401"/>
      <c r="AM23" s="401"/>
      <c r="AN23" s="401"/>
      <c r="AO23" s="393"/>
      <c r="AQ23" s="424">
        <v>1</v>
      </c>
      <c r="AR23" s="424" t="s">
        <v>892</v>
      </c>
      <c r="AS23" s="424">
        <v>4.1100000000000003</v>
      </c>
      <c r="AU23" s="424" t="s">
        <v>925</v>
      </c>
      <c r="AV23" s="401">
        <v>5.24</v>
      </c>
      <c r="AX23" s="424" t="s">
        <v>927</v>
      </c>
      <c r="AY23" s="424">
        <v>6.76</v>
      </c>
      <c r="BA23" s="424" t="s">
        <v>946</v>
      </c>
      <c r="BB23" s="424">
        <v>9.83</v>
      </c>
      <c r="BD23" s="424" t="s">
        <v>968</v>
      </c>
      <c r="BE23" s="428">
        <f>O35</f>
        <v>13.4</v>
      </c>
      <c r="BG23" s="424" t="s">
        <v>991</v>
      </c>
      <c r="BH23" s="424">
        <v>18.2</v>
      </c>
      <c r="BJ23" s="424" t="s">
        <v>1035</v>
      </c>
      <c r="BK23" s="424">
        <v>33.1</v>
      </c>
      <c r="BM23" s="424" t="s">
        <v>1038</v>
      </c>
      <c r="BN23" s="424">
        <v>41.4</v>
      </c>
    </row>
    <row r="24" spans="1:66" ht="20.25" customHeight="1">
      <c r="A24" s="420"/>
      <c r="B24" s="407"/>
      <c r="C24" s="413"/>
      <c r="D24" s="412">
        <v>63.5</v>
      </c>
      <c r="E24" s="413"/>
      <c r="F24" s="414">
        <v>2.9</v>
      </c>
      <c r="G24" s="391"/>
      <c r="H24" s="392"/>
      <c r="I24" s="392"/>
      <c r="J24" s="392"/>
      <c r="K24" s="401"/>
      <c r="L24" s="401">
        <v>4.33</v>
      </c>
      <c r="M24" s="401">
        <v>4.76</v>
      </c>
      <c r="N24" s="401">
        <v>5.32</v>
      </c>
      <c r="O24" s="401">
        <v>5.87</v>
      </c>
      <c r="P24" s="401">
        <v>6.55</v>
      </c>
      <c r="Q24" s="401">
        <v>7.21</v>
      </c>
      <c r="R24" s="401">
        <v>8</v>
      </c>
      <c r="S24" s="401">
        <v>8.89</v>
      </c>
      <c r="T24" s="401">
        <v>9.8800000000000008</v>
      </c>
      <c r="U24" s="401">
        <v>10.9</v>
      </c>
      <c r="V24" s="401">
        <v>11.9</v>
      </c>
      <c r="W24" s="401">
        <v>13.2</v>
      </c>
      <c r="X24" s="401">
        <v>14.2</v>
      </c>
      <c r="Y24" s="401">
        <v>15.7</v>
      </c>
      <c r="Z24" s="401">
        <v>17.3</v>
      </c>
      <c r="AA24" s="401">
        <v>18.7</v>
      </c>
      <c r="AB24" s="401">
        <v>19.899999999999999</v>
      </c>
      <c r="AC24" s="401"/>
      <c r="AD24" s="401"/>
      <c r="AE24" s="401"/>
      <c r="AF24" s="401"/>
      <c r="AG24" s="401"/>
      <c r="AH24" s="401"/>
      <c r="AI24" s="401"/>
      <c r="AJ24" s="401"/>
      <c r="AK24" s="401"/>
      <c r="AL24" s="401"/>
      <c r="AM24" s="401"/>
      <c r="AN24" s="401"/>
      <c r="AO24" s="393"/>
      <c r="AQ24" s="424">
        <v>2</v>
      </c>
      <c r="AR24" s="424" t="s">
        <v>893</v>
      </c>
      <c r="AS24" s="424">
        <v>4.51</v>
      </c>
      <c r="AU24" s="424" t="s">
        <v>909</v>
      </c>
      <c r="AV24" s="401">
        <v>5.75</v>
      </c>
      <c r="AX24" s="424" t="s">
        <v>928</v>
      </c>
      <c r="AY24" s="424">
        <v>7.57</v>
      </c>
      <c r="BA24" s="424" t="s">
        <v>947</v>
      </c>
      <c r="BB24" s="424">
        <v>10.9</v>
      </c>
      <c r="BD24" s="424" t="s">
        <v>969</v>
      </c>
      <c r="BE24" s="428">
        <f>P35</f>
        <v>15</v>
      </c>
      <c r="BG24" s="424" t="s">
        <v>992</v>
      </c>
      <c r="BH24" s="424">
        <v>20.100000000000001</v>
      </c>
      <c r="BJ24" s="424" t="s">
        <v>1015</v>
      </c>
      <c r="BK24" s="424">
        <v>37.1</v>
      </c>
      <c r="BM24" s="424" t="s">
        <v>1039</v>
      </c>
      <c r="BN24" s="424">
        <v>46.6</v>
      </c>
    </row>
    <row r="25" spans="1:66" ht="20.25" customHeight="1">
      <c r="A25" s="420"/>
      <c r="B25" s="407"/>
      <c r="C25" s="413"/>
      <c r="D25" s="413">
        <v>70</v>
      </c>
      <c r="E25" s="413"/>
      <c r="F25" s="414">
        <v>2.9</v>
      </c>
      <c r="G25" s="391"/>
      <c r="H25" s="392"/>
      <c r="I25" s="392"/>
      <c r="J25" s="392"/>
      <c r="K25" s="401"/>
      <c r="L25" s="401">
        <v>4.8</v>
      </c>
      <c r="M25" s="401">
        <v>5.27</v>
      </c>
      <c r="N25" s="401">
        <v>5.9</v>
      </c>
      <c r="O25" s="401">
        <v>6.51</v>
      </c>
      <c r="P25" s="401">
        <v>7.27</v>
      </c>
      <c r="Q25" s="401">
        <v>8.01</v>
      </c>
      <c r="R25" s="401">
        <v>8.89</v>
      </c>
      <c r="S25" s="401">
        <v>9.9</v>
      </c>
      <c r="T25" s="401">
        <v>11</v>
      </c>
      <c r="U25" s="401">
        <v>12.2</v>
      </c>
      <c r="V25" s="401">
        <v>13.3</v>
      </c>
      <c r="W25" s="401">
        <v>14.8</v>
      </c>
      <c r="X25" s="401">
        <v>16</v>
      </c>
      <c r="Y25" s="401">
        <v>17.7</v>
      </c>
      <c r="Z25" s="401">
        <v>19.5</v>
      </c>
      <c r="AA25" s="401">
        <v>21.3</v>
      </c>
      <c r="AB25" s="401">
        <v>22.7</v>
      </c>
      <c r="AC25" s="401">
        <v>24.7</v>
      </c>
      <c r="AD25" s="401"/>
      <c r="AE25" s="401"/>
      <c r="AF25" s="401"/>
      <c r="AG25" s="401"/>
      <c r="AH25" s="401"/>
      <c r="AI25" s="401"/>
      <c r="AJ25" s="401"/>
      <c r="AK25" s="401"/>
      <c r="AL25" s="401"/>
      <c r="AM25" s="401"/>
      <c r="AN25" s="401"/>
      <c r="AO25" s="393"/>
      <c r="AQ25" s="424">
        <v>3</v>
      </c>
      <c r="AR25" s="424" t="s">
        <v>894</v>
      </c>
      <c r="AS25" s="424">
        <v>5.03</v>
      </c>
      <c r="AU25" s="424" t="s">
        <v>910</v>
      </c>
      <c r="AV25" s="401">
        <v>6.44</v>
      </c>
      <c r="AX25" s="424" t="s">
        <v>929</v>
      </c>
      <c r="AY25" s="424">
        <v>8.3800000000000008</v>
      </c>
      <c r="BA25" s="424" t="s">
        <v>948</v>
      </c>
      <c r="BB25" s="424">
        <v>12.2</v>
      </c>
      <c r="BD25" s="424" t="s">
        <v>970</v>
      </c>
      <c r="BE25" s="428">
        <f>Q35</f>
        <v>16.600000000000001</v>
      </c>
      <c r="BG25" s="424" t="s">
        <v>993</v>
      </c>
      <c r="BH25" s="424">
        <v>22.5</v>
      </c>
      <c r="BJ25" s="424" t="s">
        <v>1016</v>
      </c>
      <c r="BK25" s="424">
        <v>41.6</v>
      </c>
      <c r="BM25" s="424" t="s">
        <v>1040</v>
      </c>
      <c r="BN25" s="424">
        <v>52.3</v>
      </c>
    </row>
    <row r="26" spans="1:66" ht="20.25" customHeight="1">
      <c r="A26" s="420"/>
      <c r="B26" s="407"/>
      <c r="C26" s="413"/>
      <c r="D26" s="413"/>
      <c r="E26" s="413">
        <v>73</v>
      </c>
      <c r="F26" s="414">
        <v>2.9</v>
      </c>
      <c r="G26" s="391"/>
      <c r="H26" s="392"/>
      <c r="I26" s="392"/>
      <c r="J26" s="392"/>
      <c r="K26" s="401"/>
      <c r="L26" s="401">
        <v>5.01</v>
      </c>
      <c r="M26" s="401">
        <v>5.51</v>
      </c>
      <c r="N26" s="401">
        <v>6.16</v>
      </c>
      <c r="O26" s="401">
        <v>6.81</v>
      </c>
      <c r="P26" s="401">
        <v>7.6</v>
      </c>
      <c r="Q26" s="401">
        <v>8.3800000000000008</v>
      </c>
      <c r="R26" s="401">
        <v>9.31</v>
      </c>
      <c r="S26" s="401">
        <v>10.4</v>
      </c>
      <c r="T26" s="401">
        <v>11.5</v>
      </c>
      <c r="U26" s="401">
        <v>12.8</v>
      </c>
      <c r="V26" s="401">
        <v>13.9</v>
      </c>
      <c r="W26" s="401">
        <v>15.5</v>
      </c>
      <c r="X26" s="401">
        <v>16.8</v>
      </c>
      <c r="Y26" s="401">
        <v>18.7</v>
      </c>
      <c r="Z26" s="401">
        <v>20.6</v>
      </c>
      <c r="AA26" s="401">
        <v>22.5</v>
      </c>
      <c r="AB26" s="401">
        <v>24</v>
      </c>
      <c r="AC26" s="401">
        <v>26.1</v>
      </c>
      <c r="AD26" s="401"/>
      <c r="AE26" s="401"/>
      <c r="AF26" s="401"/>
      <c r="AG26" s="401"/>
      <c r="AH26" s="401"/>
      <c r="AI26" s="401"/>
      <c r="AJ26" s="401"/>
      <c r="AK26" s="401"/>
      <c r="AL26" s="401"/>
      <c r="AM26" s="401"/>
      <c r="AN26" s="401"/>
      <c r="AO26" s="393"/>
      <c r="AQ26" s="424">
        <v>4</v>
      </c>
      <c r="AR26" s="424" t="s">
        <v>895</v>
      </c>
      <c r="AS26" s="424">
        <v>5.55</v>
      </c>
      <c r="AU26" s="424" t="s">
        <v>911</v>
      </c>
      <c r="AV26" s="401">
        <v>7.11</v>
      </c>
      <c r="AX26" s="424" t="s">
        <v>930</v>
      </c>
      <c r="AY26" s="424">
        <v>9.3699999999999992</v>
      </c>
      <c r="BA26" s="424" t="s">
        <v>949</v>
      </c>
      <c r="BB26" s="424">
        <v>13.5</v>
      </c>
      <c r="BD26" s="424" t="s">
        <v>971</v>
      </c>
      <c r="BE26" s="424">
        <v>18.5</v>
      </c>
      <c r="BG26" s="424" t="s">
        <v>994</v>
      </c>
      <c r="BH26" s="424">
        <v>25.2</v>
      </c>
      <c r="BJ26" s="424" t="s">
        <v>1017</v>
      </c>
      <c r="BK26" s="424">
        <v>45.6</v>
      </c>
      <c r="BM26" s="424" t="s">
        <v>1041</v>
      </c>
      <c r="BN26" s="424">
        <v>57.3</v>
      </c>
    </row>
    <row r="27" spans="1:66" ht="20.25" customHeight="1">
      <c r="A27" s="420">
        <v>65</v>
      </c>
      <c r="B27" s="407" t="s">
        <v>883</v>
      </c>
      <c r="C27" s="413">
        <v>76</v>
      </c>
      <c r="D27" s="413"/>
      <c r="E27" s="413"/>
      <c r="F27" s="414">
        <v>3.9</v>
      </c>
      <c r="G27" s="391"/>
      <c r="H27" s="392"/>
      <c r="I27" s="392"/>
      <c r="J27" s="392"/>
      <c r="K27" s="401"/>
      <c r="L27" s="401">
        <v>5.24</v>
      </c>
      <c r="M27" s="401">
        <v>5.75</v>
      </c>
      <c r="N27" s="401">
        <v>6.44</v>
      </c>
      <c r="O27" s="401">
        <v>7.11</v>
      </c>
      <c r="P27" s="401">
        <v>7.95</v>
      </c>
      <c r="Q27" s="401">
        <v>8.77</v>
      </c>
      <c r="R27" s="401">
        <v>9.74</v>
      </c>
      <c r="S27" s="401">
        <v>10.8</v>
      </c>
      <c r="T27" s="401">
        <v>12.1</v>
      </c>
      <c r="U27" s="401">
        <v>13.4</v>
      </c>
      <c r="V27" s="401">
        <v>14.6</v>
      </c>
      <c r="W27" s="401">
        <v>16.3</v>
      </c>
      <c r="X27" s="401">
        <v>17.7</v>
      </c>
      <c r="Y27" s="401">
        <v>19.600000000000001</v>
      </c>
      <c r="Z27" s="401">
        <v>21.7</v>
      </c>
      <c r="AA27" s="401">
        <v>23.7</v>
      </c>
      <c r="AB27" s="401">
        <v>25.3</v>
      </c>
      <c r="AC27" s="401">
        <v>27.7</v>
      </c>
      <c r="AD27" s="401"/>
      <c r="AE27" s="401"/>
      <c r="AF27" s="401"/>
      <c r="AG27" s="401"/>
      <c r="AH27" s="401"/>
      <c r="AI27" s="401"/>
      <c r="AJ27" s="401"/>
      <c r="AK27" s="401"/>
      <c r="AL27" s="401"/>
      <c r="AM27" s="401"/>
      <c r="AN27" s="401"/>
      <c r="AO27" s="393"/>
      <c r="AQ27" s="424">
        <v>5</v>
      </c>
      <c r="AR27" s="424" t="s">
        <v>896</v>
      </c>
      <c r="AS27" s="424">
        <v>6.19</v>
      </c>
      <c r="AU27" s="424" t="s">
        <v>912</v>
      </c>
      <c r="AV27" s="401">
        <v>7.95</v>
      </c>
      <c r="AX27" s="424" t="s">
        <v>931</v>
      </c>
      <c r="AY27" s="424">
        <v>10.3</v>
      </c>
      <c r="BA27" s="424" t="s">
        <v>950</v>
      </c>
      <c r="BB27" s="424">
        <v>15</v>
      </c>
      <c r="BD27" s="424" t="s">
        <v>972</v>
      </c>
      <c r="BE27" s="424">
        <v>20.7</v>
      </c>
      <c r="BG27" s="424" t="s">
        <v>995</v>
      </c>
      <c r="BH27" s="424">
        <v>28.2</v>
      </c>
      <c r="BJ27" s="424" t="s">
        <v>1018</v>
      </c>
      <c r="BK27" s="424">
        <v>51.6</v>
      </c>
      <c r="BM27" s="424" t="s">
        <v>1042</v>
      </c>
      <c r="BN27" s="424">
        <v>64.900000000000006</v>
      </c>
    </row>
    <row r="28" spans="1:66" ht="20.25" customHeight="1">
      <c r="A28" s="420"/>
      <c r="B28" s="407"/>
      <c r="C28" s="413"/>
      <c r="D28" s="413"/>
      <c r="E28" s="412">
        <v>82.5</v>
      </c>
      <c r="F28" s="414">
        <v>3.2</v>
      </c>
      <c r="G28" s="391"/>
      <c r="H28" s="392"/>
      <c r="I28" s="392"/>
      <c r="J28" s="392"/>
      <c r="K28" s="401"/>
      <c r="L28" s="401"/>
      <c r="M28" s="401">
        <v>6.26</v>
      </c>
      <c r="N28" s="401">
        <v>7</v>
      </c>
      <c r="O28" s="401">
        <v>7.74</v>
      </c>
      <c r="P28" s="401">
        <v>8.66</v>
      </c>
      <c r="Q28" s="401">
        <v>9.56</v>
      </c>
      <c r="R28" s="401">
        <v>10.6</v>
      </c>
      <c r="S28" s="401">
        <v>11.8</v>
      </c>
      <c r="T28" s="401">
        <v>13.2</v>
      </c>
      <c r="U28" s="401">
        <v>14.7</v>
      </c>
      <c r="V28" s="401">
        <v>16</v>
      </c>
      <c r="W28" s="401">
        <v>17.899999999999999</v>
      </c>
      <c r="X28" s="401">
        <v>19.399999999999999</v>
      </c>
      <c r="Y28" s="401">
        <v>21.6</v>
      </c>
      <c r="Z28" s="401">
        <v>23.9</v>
      </c>
      <c r="AA28" s="401">
        <v>26.2</v>
      </c>
      <c r="AB28" s="401">
        <v>28.1</v>
      </c>
      <c r="AC28" s="401">
        <v>30.8</v>
      </c>
      <c r="AD28" s="401">
        <v>33</v>
      </c>
      <c r="AE28" s="401"/>
      <c r="AF28" s="401"/>
      <c r="AG28" s="401"/>
      <c r="AH28" s="401"/>
      <c r="AI28" s="401"/>
      <c r="AJ28" s="401"/>
      <c r="AK28" s="401"/>
      <c r="AL28" s="401"/>
      <c r="AM28" s="401"/>
      <c r="AN28" s="401"/>
      <c r="AO28" s="393"/>
      <c r="AQ28" s="424">
        <v>6</v>
      </c>
      <c r="AR28" s="424" t="s">
        <v>897</v>
      </c>
      <c r="AS28" s="424">
        <v>8.82</v>
      </c>
      <c r="AU28" s="424" t="s">
        <v>913</v>
      </c>
      <c r="AV28" s="401">
        <v>8.77</v>
      </c>
      <c r="AX28" s="424" t="s">
        <v>932</v>
      </c>
      <c r="AY28" s="424">
        <v>11.5</v>
      </c>
      <c r="BA28" s="424" t="s">
        <v>951</v>
      </c>
      <c r="BB28" s="424">
        <v>16.8</v>
      </c>
      <c r="BD28" s="424" t="s">
        <v>973</v>
      </c>
      <c r="BE28" s="424">
        <v>23.2</v>
      </c>
      <c r="BG28" s="424" t="s">
        <v>996</v>
      </c>
      <c r="BH28" s="424">
        <v>31.6</v>
      </c>
      <c r="BJ28" s="424" t="s">
        <v>1019</v>
      </c>
      <c r="BK28" s="424">
        <v>56.5</v>
      </c>
      <c r="BM28" s="424" t="s">
        <v>1043</v>
      </c>
      <c r="BN28" s="424">
        <v>71.099999999999994</v>
      </c>
    </row>
    <row r="29" spans="1:66" ht="20.25" customHeight="1">
      <c r="A29" s="420">
        <v>80</v>
      </c>
      <c r="B29" s="407">
        <v>3</v>
      </c>
      <c r="C29" s="412">
        <v>88.9</v>
      </c>
      <c r="D29" s="413"/>
      <c r="E29" s="413"/>
      <c r="F29" s="414">
        <v>3.2</v>
      </c>
      <c r="G29" s="391"/>
      <c r="H29" s="392"/>
      <c r="I29" s="392"/>
      <c r="J29" s="392"/>
      <c r="K29" s="401"/>
      <c r="L29" s="401"/>
      <c r="M29" s="426">
        <v>6.76</v>
      </c>
      <c r="N29" s="426">
        <v>7.57</v>
      </c>
      <c r="O29" s="426">
        <v>8.3800000000000008</v>
      </c>
      <c r="P29" s="426">
        <v>9.3699999999999992</v>
      </c>
      <c r="Q29" s="426">
        <v>10.3</v>
      </c>
      <c r="R29" s="426">
        <v>11.5</v>
      </c>
      <c r="S29" s="426">
        <v>12.8</v>
      </c>
      <c r="T29" s="426">
        <v>14.3</v>
      </c>
      <c r="U29" s="426">
        <v>16</v>
      </c>
      <c r="V29" s="426">
        <v>17.399999999999999</v>
      </c>
      <c r="W29" s="426">
        <v>19.5</v>
      </c>
      <c r="X29" s="426">
        <v>21.1</v>
      </c>
      <c r="Y29" s="426">
        <v>23.6</v>
      </c>
      <c r="Z29" s="426">
        <v>26.2</v>
      </c>
      <c r="AA29" s="426">
        <v>28.8</v>
      </c>
      <c r="AB29" s="426">
        <v>30.8</v>
      </c>
      <c r="AC29" s="426">
        <v>34</v>
      </c>
      <c r="AD29" s="426">
        <v>36.5</v>
      </c>
      <c r="AE29" s="426">
        <v>39.4</v>
      </c>
      <c r="AF29" s="401"/>
      <c r="AG29" s="401"/>
      <c r="AH29" s="401"/>
      <c r="AI29" s="401"/>
      <c r="AJ29" s="401"/>
      <c r="AK29" s="401"/>
      <c r="AL29" s="401"/>
      <c r="AM29" s="401"/>
      <c r="AN29" s="401"/>
      <c r="AO29" s="393"/>
      <c r="AQ29" s="424">
        <v>7</v>
      </c>
      <c r="AR29" s="424" t="s">
        <v>898</v>
      </c>
      <c r="AS29" s="424">
        <v>7.55</v>
      </c>
      <c r="AU29" s="424" t="s">
        <v>914</v>
      </c>
      <c r="AV29" s="401">
        <v>9.74</v>
      </c>
      <c r="AX29" s="424" t="s">
        <v>933</v>
      </c>
      <c r="AY29" s="424">
        <v>12.8</v>
      </c>
      <c r="BA29" s="424" t="s">
        <v>952</v>
      </c>
      <c r="BB29" s="424">
        <v>18.8</v>
      </c>
      <c r="BD29" s="424" t="s">
        <v>974</v>
      </c>
      <c r="BE29" s="424">
        <v>26</v>
      </c>
      <c r="BG29" s="424" t="s">
        <v>997</v>
      </c>
      <c r="BH29" s="424">
        <v>34.6</v>
      </c>
      <c r="BJ29" s="424" t="s">
        <v>1020</v>
      </c>
      <c r="BK29" s="424">
        <v>63.7</v>
      </c>
      <c r="BM29" s="424" t="s">
        <v>1044</v>
      </c>
      <c r="BN29" s="424">
        <v>80.3</v>
      </c>
    </row>
    <row r="30" spans="1:66" ht="20.25" customHeight="1">
      <c r="A30" s="420">
        <v>90</v>
      </c>
      <c r="B30" s="406" t="s">
        <v>890</v>
      </c>
      <c r="C30" s="413"/>
      <c r="D30" s="412">
        <v>101.6</v>
      </c>
      <c r="E30" s="413"/>
      <c r="F30" s="414">
        <v>3.6</v>
      </c>
      <c r="G30" s="391"/>
      <c r="H30" s="392"/>
      <c r="I30" s="392"/>
      <c r="J30" s="392"/>
      <c r="K30" s="401"/>
      <c r="L30" s="401"/>
      <c r="M30" s="401"/>
      <c r="N30" s="401">
        <v>8.6999999999999993</v>
      </c>
      <c r="O30" s="401">
        <v>9.6300000000000008</v>
      </c>
      <c r="P30" s="401">
        <v>10.8</v>
      </c>
      <c r="Q30" s="401">
        <v>11.9</v>
      </c>
      <c r="R30" s="401">
        <v>13.3</v>
      </c>
      <c r="S30" s="401">
        <v>14.8</v>
      </c>
      <c r="T30" s="401">
        <v>16.5</v>
      </c>
      <c r="U30" s="401">
        <v>18.5</v>
      </c>
      <c r="V30" s="401">
        <v>20.100000000000001</v>
      </c>
      <c r="W30" s="401">
        <v>22.6</v>
      </c>
      <c r="X30" s="401">
        <v>24.6</v>
      </c>
      <c r="Y30" s="401">
        <v>27.5</v>
      </c>
      <c r="Z30" s="401">
        <v>30.6</v>
      </c>
      <c r="AA30" s="401">
        <v>33.799999999999997</v>
      </c>
      <c r="AB30" s="401">
        <v>36.299999999999997</v>
      </c>
      <c r="AC30" s="401">
        <v>40.200000000000003</v>
      </c>
      <c r="AD30" s="401">
        <v>43.5</v>
      </c>
      <c r="AE30" s="401">
        <v>47.2</v>
      </c>
      <c r="AF30" s="401">
        <v>50.8</v>
      </c>
      <c r="AG30" s="401">
        <v>53</v>
      </c>
      <c r="AH30" s="401">
        <v>54.9</v>
      </c>
      <c r="AI30" s="401"/>
      <c r="AJ30" s="401"/>
      <c r="AK30" s="401"/>
      <c r="AL30" s="401"/>
      <c r="AM30" s="401"/>
      <c r="AN30" s="401"/>
      <c r="AO30" s="393"/>
      <c r="AQ30" s="424">
        <v>8</v>
      </c>
      <c r="AR30" s="424" t="s">
        <v>899</v>
      </c>
      <c r="AS30" s="424">
        <v>8.39</v>
      </c>
      <c r="AU30" s="424" t="s">
        <v>915</v>
      </c>
      <c r="AV30" s="401">
        <v>10.8</v>
      </c>
      <c r="AX30" s="424" t="s">
        <v>934</v>
      </c>
      <c r="AY30" s="424">
        <v>14.3</v>
      </c>
      <c r="BA30" s="424" t="s">
        <v>953</v>
      </c>
      <c r="BB30" s="424">
        <v>21</v>
      </c>
      <c r="BD30" s="424" t="s">
        <v>975</v>
      </c>
      <c r="BE30" s="424">
        <v>28.4</v>
      </c>
      <c r="BG30" s="424" t="s">
        <v>998</v>
      </c>
      <c r="BH30" s="424">
        <v>39</v>
      </c>
      <c r="BJ30" s="424" t="s">
        <v>1021</v>
      </c>
      <c r="BK30" s="424">
        <v>71.8</v>
      </c>
      <c r="BM30" s="424" t="s">
        <v>1045</v>
      </c>
      <c r="BN30" s="424">
        <v>90.6</v>
      </c>
    </row>
    <row r="31" spans="1:66" ht="20.25" customHeight="1">
      <c r="A31" s="420"/>
      <c r="B31" s="407"/>
      <c r="C31" s="413"/>
      <c r="D31" s="413"/>
      <c r="E31" s="413">
        <v>108</v>
      </c>
      <c r="F31" s="414">
        <v>3.6</v>
      </c>
      <c r="G31" s="391"/>
      <c r="H31" s="392"/>
      <c r="I31" s="392"/>
      <c r="J31" s="392"/>
      <c r="K31" s="401"/>
      <c r="L31" s="401"/>
      <c r="M31" s="401"/>
      <c r="N31" s="401">
        <v>9.27</v>
      </c>
      <c r="O31" s="401">
        <v>10.3</v>
      </c>
      <c r="P31" s="401">
        <v>11.5</v>
      </c>
      <c r="Q31" s="401">
        <v>12.7</v>
      </c>
      <c r="R31" s="401">
        <v>14.1</v>
      </c>
      <c r="S31" s="401">
        <v>15.8</v>
      </c>
      <c r="T31" s="401">
        <v>17.7</v>
      </c>
      <c r="U31" s="401">
        <v>19.7</v>
      </c>
      <c r="V31" s="401">
        <v>21.5</v>
      </c>
      <c r="W31" s="401">
        <v>24.2</v>
      </c>
      <c r="X31" s="401">
        <v>26.3</v>
      </c>
      <c r="Y31" s="401">
        <v>29.4</v>
      </c>
      <c r="Z31" s="401">
        <v>32.799999999999997</v>
      </c>
      <c r="AA31" s="401">
        <v>36.299999999999997</v>
      </c>
      <c r="AB31" s="401">
        <v>39.1</v>
      </c>
      <c r="AC31" s="401">
        <v>43.4</v>
      </c>
      <c r="AD31" s="401">
        <v>47</v>
      </c>
      <c r="AE31" s="401">
        <v>51.2</v>
      </c>
      <c r="AF31" s="401">
        <v>55.2</v>
      </c>
      <c r="AG31" s="401">
        <v>57.7</v>
      </c>
      <c r="AH31" s="401">
        <v>60</v>
      </c>
      <c r="AI31" s="401">
        <v>63.9</v>
      </c>
      <c r="AJ31" s="401"/>
      <c r="AK31" s="401"/>
      <c r="AL31" s="401"/>
      <c r="AM31" s="401"/>
      <c r="AN31" s="401"/>
      <c r="AO31" s="393"/>
      <c r="AQ31" s="424">
        <v>9</v>
      </c>
      <c r="AR31" s="424" t="s">
        <v>900</v>
      </c>
      <c r="AS31" s="424">
        <v>9.32</v>
      </c>
      <c r="AU31" s="424" t="s">
        <v>916</v>
      </c>
      <c r="AV31" s="401">
        <v>12.1</v>
      </c>
      <c r="AX31" s="424" t="s">
        <v>935</v>
      </c>
      <c r="AY31" s="424">
        <v>16</v>
      </c>
      <c r="BA31" s="424" t="s">
        <v>954</v>
      </c>
      <c r="BB31" s="424">
        <v>22.9</v>
      </c>
      <c r="BD31" s="424" t="s">
        <v>976</v>
      </c>
      <c r="BE31" s="424">
        <v>32</v>
      </c>
      <c r="BG31" s="424" t="s">
        <v>999</v>
      </c>
      <c r="BH31" s="424">
        <v>42.7</v>
      </c>
      <c r="BJ31" s="424" t="s">
        <v>1022</v>
      </c>
      <c r="BK31" s="424">
        <v>80.099999999999994</v>
      </c>
      <c r="BM31" s="424" t="s">
        <v>1046</v>
      </c>
      <c r="BN31" s="424">
        <v>101</v>
      </c>
    </row>
    <row r="32" spans="1:66" ht="20.25" customHeight="1">
      <c r="A32" s="420">
        <v>100</v>
      </c>
      <c r="B32" s="407">
        <v>4</v>
      </c>
      <c r="C32" s="412">
        <v>114.3</v>
      </c>
      <c r="D32" s="413"/>
      <c r="E32" s="413"/>
      <c r="F32" s="414">
        <v>3.6</v>
      </c>
      <c r="G32" s="391"/>
      <c r="H32" s="392"/>
      <c r="I32" s="392"/>
      <c r="J32" s="392"/>
      <c r="K32" s="401"/>
      <c r="L32" s="401"/>
      <c r="M32" s="401"/>
      <c r="N32" s="426">
        <v>9.83</v>
      </c>
      <c r="O32" s="426">
        <v>10.9</v>
      </c>
      <c r="P32" s="426">
        <v>12.2</v>
      </c>
      <c r="Q32" s="426">
        <v>13.5</v>
      </c>
      <c r="R32" s="426">
        <v>15</v>
      </c>
      <c r="S32" s="426">
        <v>16.8</v>
      </c>
      <c r="T32" s="426">
        <v>18.8</v>
      </c>
      <c r="U32" s="426">
        <v>21</v>
      </c>
      <c r="V32" s="426">
        <v>22.9</v>
      </c>
      <c r="W32" s="426">
        <v>25.7</v>
      </c>
      <c r="X32" s="426">
        <v>28</v>
      </c>
      <c r="Y32" s="426">
        <v>31.4</v>
      </c>
      <c r="Z32" s="426">
        <v>35.1</v>
      </c>
      <c r="AA32" s="426">
        <v>38.799999999999997</v>
      </c>
      <c r="AB32" s="426">
        <v>41.8</v>
      </c>
      <c r="AC32" s="426">
        <v>46.5</v>
      </c>
      <c r="AD32" s="426">
        <v>50.4</v>
      </c>
      <c r="AE32" s="426">
        <v>55.1</v>
      </c>
      <c r="AF32" s="426">
        <v>59.6</v>
      </c>
      <c r="AG32" s="426">
        <v>62.4</v>
      </c>
      <c r="AH32" s="426">
        <v>64.900000000000006</v>
      </c>
      <c r="AI32" s="426">
        <v>69.5</v>
      </c>
      <c r="AJ32" s="401"/>
      <c r="AK32" s="401"/>
      <c r="AL32" s="401"/>
      <c r="AM32" s="401"/>
      <c r="AN32" s="401"/>
      <c r="AO32" s="393"/>
      <c r="AQ32" s="424">
        <v>10</v>
      </c>
      <c r="AR32" s="424" t="s">
        <v>901</v>
      </c>
      <c r="AS32" s="424">
        <v>10.3</v>
      </c>
      <c r="AU32" s="424" t="s">
        <v>917</v>
      </c>
      <c r="AV32" s="401">
        <v>13.4</v>
      </c>
      <c r="AX32" s="424" t="s">
        <v>936</v>
      </c>
      <c r="AY32" s="424">
        <v>17.399999999999999</v>
      </c>
      <c r="BA32" s="424" t="s">
        <v>955</v>
      </c>
      <c r="BB32" s="424">
        <v>25.7</v>
      </c>
      <c r="BD32" s="424" t="s">
        <v>977</v>
      </c>
      <c r="BE32" s="424">
        <v>34.9</v>
      </c>
      <c r="BG32" s="424" t="s">
        <v>1000</v>
      </c>
      <c r="BH32" s="424">
        <v>48</v>
      </c>
      <c r="BJ32" s="424" t="s">
        <v>1023</v>
      </c>
      <c r="BK32" s="424">
        <v>87</v>
      </c>
      <c r="BM32" s="424" t="s">
        <v>1047</v>
      </c>
      <c r="BN32" s="424">
        <v>110</v>
      </c>
    </row>
    <row r="33" spans="1:66" ht="20.25" customHeight="1">
      <c r="A33" s="420"/>
      <c r="B33" s="407"/>
      <c r="C33" s="413"/>
      <c r="D33" s="413">
        <v>127</v>
      </c>
      <c r="E33" s="413"/>
      <c r="F33" s="414">
        <v>4</v>
      </c>
      <c r="G33" s="391"/>
      <c r="H33" s="392"/>
      <c r="I33" s="392"/>
      <c r="J33" s="392"/>
      <c r="K33" s="401"/>
      <c r="L33" s="401"/>
      <c r="M33" s="401"/>
      <c r="N33" s="401"/>
      <c r="O33" s="401">
        <v>12.1</v>
      </c>
      <c r="P33" s="401">
        <v>13.6</v>
      </c>
      <c r="Q33" s="401">
        <v>15</v>
      </c>
      <c r="R33" s="401">
        <v>16.8</v>
      </c>
      <c r="S33" s="401">
        <v>18.8</v>
      </c>
      <c r="T33" s="401">
        <v>21</v>
      </c>
      <c r="U33" s="401">
        <v>23.5</v>
      </c>
      <c r="V33" s="401">
        <v>25.7</v>
      </c>
      <c r="W33" s="401">
        <v>28.9</v>
      </c>
      <c r="X33" s="401">
        <v>31.5</v>
      </c>
      <c r="Y33" s="401">
        <v>35.299999999999997</v>
      </c>
      <c r="Z33" s="401">
        <v>39.5</v>
      </c>
      <c r="AA33" s="401">
        <v>43.8</v>
      </c>
      <c r="AB33" s="401">
        <v>47.3</v>
      </c>
      <c r="AC33" s="401">
        <v>52.8</v>
      </c>
      <c r="AD33" s="401">
        <v>57.4</v>
      </c>
      <c r="AE33" s="401">
        <v>62.9</v>
      </c>
      <c r="AF33" s="401">
        <v>68.400000000000006</v>
      </c>
      <c r="AG33" s="401">
        <v>71.8</v>
      </c>
      <c r="AH33" s="401">
        <v>75</v>
      </c>
      <c r="AI33" s="401">
        <v>80.8</v>
      </c>
      <c r="AJ33" s="401">
        <v>85.8</v>
      </c>
      <c r="AK33" s="401"/>
      <c r="AL33" s="401"/>
      <c r="AM33" s="401"/>
      <c r="AN33" s="401"/>
      <c r="AO33" s="393"/>
      <c r="AQ33" s="424">
        <v>11</v>
      </c>
      <c r="AR33" s="424" t="s">
        <v>902</v>
      </c>
      <c r="AS33" s="424">
        <v>11.2</v>
      </c>
      <c r="AU33" s="424" t="s">
        <v>918</v>
      </c>
      <c r="AV33" s="401">
        <v>14.6</v>
      </c>
      <c r="AX33" s="424" t="s">
        <v>937</v>
      </c>
      <c r="AY33" s="424">
        <v>19.5</v>
      </c>
      <c r="BA33" s="424" t="s">
        <v>956</v>
      </c>
      <c r="BB33" s="424">
        <v>28</v>
      </c>
      <c r="BD33" s="424" t="s">
        <v>978</v>
      </c>
      <c r="BE33" s="424">
        <v>39.200000000000003</v>
      </c>
      <c r="BG33" s="424" t="s">
        <v>1001</v>
      </c>
      <c r="BH33" s="424">
        <v>54</v>
      </c>
      <c r="BJ33" s="424" t="s">
        <v>1024</v>
      </c>
      <c r="BK33" s="424">
        <v>98.2</v>
      </c>
      <c r="BM33" s="424" t="s">
        <v>1048</v>
      </c>
      <c r="BN33" s="424">
        <v>125</v>
      </c>
    </row>
    <row r="34" spans="1:66" ht="20.25" customHeight="1">
      <c r="A34" s="420"/>
      <c r="B34" s="407"/>
      <c r="C34" s="413"/>
      <c r="D34" s="413">
        <v>133</v>
      </c>
      <c r="E34" s="413"/>
      <c r="F34" s="414">
        <v>4</v>
      </c>
      <c r="G34" s="391"/>
      <c r="H34" s="392"/>
      <c r="I34" s="392"/>
      <c r="J34" s="392"/>
      <c r="K34" s="401"/>
      <c r="L34" s="401"/>
      <c r="M34" s="401"/>
      <c r="N34" s="401"/>
      <c r="O34" s="401">
        <v>12.7</v>
      </c>
      <c r="P34" s="401">
        <v>14.3</v>
      </c>
      <c r="Q34" s="401">
        <v>15.8</v>
      </c>
      <c r="R34" s="401">
        <v>17.600000000000001</v>
      </c>
      <c r="S34" s="401">
        <v>19.7</v>
      </c>
      <c r="T34" s="401">
        <v>22</v>
      </c>
      <c r="U34" s="401">
        <v>24.7</v>
      </c>
      <c r="V34" s="401">
        <v>27</v>
      </c>
      <c r="W34" s="401">
        <v>30.3</v>
      </c>
      <c r="X34" s="401">
        <v>33.1</v>
      </c>
      <c r="Y34" s="401">
        <v>37.1</v>
      </c>
      <c r="Z34" s="401">
        <v>41.6</v>
      </c>
      <c r="AA34" s="401">
        <v>46.2</v>
      </c>
      <c r="AB34" s="401">
        <v>49.8</v>
      </c>
      <c r="AC34" s="401">
        <v>55.7</v>
      </c>
      <c r="AD34" s="401">
        <v>60.7</v>
      </c>
      <c r="AE34" s="401">
        <v>66.599999999999994</v>
      </c>
      <c r="AF34" s="401">
        <v>72.5</v>
      </c>
      <c r="AG34" s="401">
        <v>76.2</v>
      </c>
      <c r="AH34" s="401">
        <v>79.7</v>
      </c>
      <c r="AI34" s="401">
        <v>86.1</v>
      </c>
      <c r="AJ34" s="401">
        <v>91.7</v>
      </c>
      <c r="AK34" s="401"/>
      <c r="AL34" s="401"/>
      <c r="AM34" s="401"/>
      <c r="AN34" s="401"/>
      <c r="AO34" s="393"/>
      <c r="AQ34" s="424">
        <v>12</v>
      </c>
      <c r="AR34" s="424" t="s">
        <v>903</v>
      </c>
      <c r="AS34" s="424">
        <v>12.4</v>
      </c>
      <c r="AU34" s="424" t="s">
        <v>919</v>
      </c>
      <c r="AV34" s="401">
        <v>16.3</v>
      </c>
      <c r="AX34" s="424" t="s">
        <v>938</v>
      </c>
      <c r="AY34" s="424">
        <v>21.1</v>
      </c>
      <c r="BA34" s="424" t="s">
        <v>957</v>
      </c>
      <c r="BB34" s="424">
        <v>31.4</v>
      </c>
      <c r="BD34" s="424" t="s">
        <v>979</v>
      </c>
      <c r="BE34" s="424">
        <v>43.9</v>
      </c>
      <c r="BG34" s="424" t="s">
        <v>1002</v>
      </c>
      <c r="BH34" s="424">
        <v>60.1</v>
      </c>
      <c r="BJ34" s="424" t="s">
        <v>1025</v>
      </c>
      <c r="BK34" s="424">
        <v>108</v>
      </c>
      <c r="BM34" s="424" t="s">
        <v>1049</v>
      </c>
      <c r="BN34" s="424">
        <v>137</v>
      </c>
    </row>
    <row r="35" spans="1:66" ht="20.25" customHeight="1">
      <c r="A35" s="420">
        <v>125</v>
      </c>
      <c r="B35" s="407">
        <v>5</v>
      </c>
      <c r="C35" s="429">
        <v>139.69999999999999</v>
      </c>
      <c r="D35" s="430"/>
      <c r="E35" s="430"/>
      <c r="F35" s="431">
        <v>4</v>
      </c>
      <c r="G35" s="432"/>
      <c r="H35" s="433"/>
      <c r="I35" s="434"/>
      <c r="J35" s="433"/>
      <c r="K35" s="426"/>
      <c r="L35" s="426"/>
      <c r="M35" s="426"/>
      <c r="N35" s="426"/>
      <c r="O35" s="426">
        <v>13.4</v>
      </c>
      <c r="P35" s="426">
        <v>15</v>
      </c>
      <c r="Q35" s="426">
        <v>16.600000000000001</v>
      </c>
      <c r="R35" s="426">
        <v>18.5</v>
      </c>
      <c r="S35" s="426">
        <v>20.7</v>
      </c>
      <c r="T35" s="426">
        <v>23.2</v>
      </c>
      <c r="U35" s="426">
        <v>26</v>
      </c>
      <c r="V35" s="426">
        <v>28.4</v>
      </c>
      <c r="W35" s="426">
        <v>32</v>
      </c>
      <c r="X35" s="426">
        <v>34.9</v>
      </c>
      <c r="Y35" s="426">
        <v>39.200000000000003</v>
      </c>
      <c r="Z35" s="426">
        <v>43.9</v>
      </c>
      <c r="AA35" s="426">
        <v>48.8</v>
      </c>
      <c r="AB35" s="426">
        <v>52.7</v>
      </c>
      <c r="AC35" s="426">
        <v>59</v>
      </c>
      <c r="AD35" s="426">
        <v>64.3</v>
      </c>
      <c r="AE35" s="426">
        <v>70.7</v>
      </c>
      <c r="AF35" s="426">
        <v>77.099999999999994</v>
      </c>
      <c r="AG35" s="426">
        <v>81.2</v>
      </c>
      <c r="AH35" s="426">
        <v>85</v>
      </c>
      <c r="AI35" s="426">
        <v>92.1</v>
      </c>
      <c r="AJ35" s="426">
        <v>98.4</v>
      </c>
      <c r="AK35" s="426">
        <v>105</v>
      </c>
      <c r="AL35" s="401"/>
      <c r="AM35" s="401"/>
      <c r="AN35" s="401"/>
      <c r="AO35" s="393"/>
      <c r="AQ35" s="424">
        <v>13</v>
      </c>
      <c r="AR35" s="424" t="s">
        <v>904</v>
      </c>
      <c r="AS35" s="424">
        <v>13.4</v>
      </c>
      <c r="AU35" s="424" t="s">
        <v>920</v>
      </c>
      <c r="AV35" s="401">
        <v>17.7</v>
      </c>
      <c r="AX35" s="424" t="s">
        <v>939</v>
      </c>
      <c r="AY35" s="424">
        <v>23.6</v>
      </c>
      <c r="BA35" s="424" t="s">
        <v>958</v>
      </c>
      <c r="BB35" s="424">
        <v>35.1</v>
      </c>
      <c r="BD35" s="424" t="s">
        <v>980</v>
      </c>
      <c r="BE35" s="424">
        <v>48.8</v>
      </c>
      <c r="BG35" s="424" t="s">
        <v>1003</v>
      </c>
      <c r="BH35" s="424">
        <v>65.099999999999994</v>
      </c>
      <c r="BJ35" s="424" t="s">
        <v>1026</v>
      </c>
      <c r="BK35" s="424">
        <v>120</v>
      </c>
      <c r="BM35" s="424" t="s">
        <v>1050</v>
      </c>
      <c r="BN35" s="424">
        <v>153</v>
      </c>
    </row>
    <row r="36" spans="1:66" ht="20.25" customHeight="1">
      <c r="A36" s="420"/>
      <c r="B36" s="407"/>
      <c r="C36" s="413"/>
      <c r="D36" s="413"/>
      <c r="E36" s="412">
        <v>152.4</v>
      </c>
      <c r="F36" s="414">
        <v>4.5</v>
      </c>
      <c r="G36" s="391"/>
      <c r="H36" s="392"/>
      <c r="I36" s="392"/>
      <c r="J36" s="392"/>
      <c r="K36" s="401"/>
      <c r="L36" s="401"/>
      <c r="M36" s="401"/>
      <c r="N36" s="401"/>
      <c r="O36" s="401"/>
      <c r="P36" s="401">
        <v>16.399999999999999</v>
      </c>
      <c r="Q36" s="401">
        <v>18.2</v>
      </c>
      <c r="R36" s="401">
        <v>20.3</v>
      </c>
      <c r="S36" s="401">
        <v>22.7</v>
      </c>
      <c r="T36" s="401">
        <v>25.4</v>
      </c>
      <c r="U36" s="401">
        <v>28.5</v>
      </c>
      <c r="V36" s="401">
        <v>31.2</v>
      </c>
      <c r="W36" s="401">
        <v>35.1</v>
      </c>
      <c r="X36" s="401">
        <v>38.4</v>
      </c>
      <c r="Y36" s="401">
        <v>43.1</v>
      </c>
      <c r="Z36" s="401">
        <v>48.4</v>
      </c>
      <c r="AA36" s="401">
        <v>53.8</v>
      </c>
      <c r="AB36" s="401">
        <v>58.1</v>
      </c>
      <c r="AC36" s="401">
        <v>65.3</v>
      </c>
      <c r="AD36" s="401">
        <v>71.3</v>
      </c>
      <c r="AE36" s="401">
        <v>78.5</v>
      </c>
      <c r="AF36" s="401">
        <v>85.9</v>
      </c>
      <c r="AG36" s="401">
        <v>90.6</v>
      </c>
      <c r="AH36" s="401">
        <v>95</v>
      </c>
      <c r="AI36" s="401">
        <v>103</v>
      </c>
      <c r="AJ36" s="401">
        <v>111</v>
      </c>
      <c r="AK36" s="401">
        <v>119</v>
      </c>
      <c r="AL36" s="401">
        <v>126</v>
      </c>
      <c r="AM36" s="401"/>
      <c r="AN36" s="401"/>
      <c r="AO36" s="393"/>
      <c r="AQ36" s="424">
        <v>14</v>
      </c>
      <c r="AR36" s="424" t="s">
        <v>905</v>
      </c>
      <c r="AS36" s="424">
        <v>14.7</v>
      </c>
      <c r="AU36" s="424" t="s">
        <v>921</v>
      </c>
      <c r="AV36" s="401">
        <v>19.600000000000001</v>
      </c>
      <c r="AX36" s="424" t="s">
        <v>940</v>
      </c>
      <c r="AY36" s="424">
        <v>26.2</v>
      </c>
      <c r="BA36" s="424" t="s">
        <v>959</v>
      </c>
      <c r="BB36" s="424">
        <v>38.799999999999997</v>
      </c>
      <c r="BD36" s="424" t="s">
        <v>981</v>
      </c>
      <c r="BE36" s="424">
        <v>52.7</v>
      </c>
      <c r="BG36" s="424" t="s">
        <v>1004</v>
      </c>
      <c r="BH36" s="424">
        <v>73.099999999999994</v>
      </c>
      <c r="BJ36" s="424" t="s">
        <v>1027</v>
      </c>
      <c r="BK36" s="424">
        <v>132</v>
      </c>
      <c r="BM36" s="424" t="s">
        <v>1051</v>
      </c>
      <c r="BN36" s="424">
        <v>169</v>
      </c>
    </row>
    <row r="37" spans="1:66" ht="20.25" customHeight="1">
      <c r="A37" s="420"/>
      <c r="B37" s="407"/>
      <c r="C37" s="413"/>
      <c r="D37" s="413"/>
      <c r="E37" s="413">
        <v>159</v>
      </c>
      <c r="F37" s="414">
        <v>4.5</v>
      </c>
      <c r="G37" s="391"/>
      <c r="H37" s="392"/>
      <c r="I37" s="392"/>
      <c r="J37" s="392"/>
      <c r="K37" s="401"/>
      <c r="L37" s="401"/>
      <c r="M37" s="401"/>
      <c r="N37" s="401"/>
      <c r="O37" s="401"/>
      <c r="P37" s="401">
        <v>17.100000000000001</v>
      </c>
      <c r="Q37" s="401">
        <v>19</v>
      </c>
      <c r="R37" s="401">
        <v>21.2</v>
      </c>
      <c r="S37" s="401">
        <v>23.7</v>
      </c>
      <c r="T37" s="401">
        <v>26.6</v>
      </c>
      <c r="U37" s="401">
        <v>29.8</v>
      </c>
      <c r="V37" s="401">
        <v>32.6</v>
      </c>
      <c r="W37" s="401">
        <v>36.700000000000003</v>
      </c>
      <c r="X37" s="401">
        <v>40.1</v>
      </c>
      <c r="Y37" s="401">
        <v>45.2</v>
      </c>
      <c r="Z37" s="401">
        <v>50.7</v>
      </c>
      <c r="AA37" s="401">
        <v>56.4</v>
      </c>
      <c r="AB37" s="401">
        <v>61.1</v>
      </c>
      <c r="AC37" s="401">
        <v>68.599999999999994</v>
      </c>
      <c r="AD37" s="401">
        <v>74.900000000000006</v>
      </c>
      <c r="AE37" s="401">
        <v>82.6</v>
      </c>
      <c r="AF37" s="401">
        <v>90.5</v>
      </c>
      <c r="AG37" s="401">
        <v>95.4</v>
      </c>
      <c r="AH37" s="401">
        <v>100</v>
      </c>
      <c r="AI37" s="401">
        <v>109</v>
      </c>
      <c r="AJ37" s="401">
        <v>117</v>
      </c>
      <c r="AK37" s="401">
        <v>127</v>
      </c>
      <c r="AL37" s="401">
        <v>134</v>
      </c>
      <c r="AM37" s="401"/>
      <c r="AN37" s="401"/>
      <c r="AO37" s="393"/>
      <c r="AQ37" s="424">
        <v>15</v>
      </c>
      <c r="AR37" s="424" t="s">
        <v>906</v>
      </c>
      <c r="AS37" s="424">
        <v>16.100000000000001</v>
      </c>
      <c r="AU37" s="424" t="s">
        <v>922</v>
      </c>
      <c r="AV37" s="401">
        <v>21.7</v>
      </c>
      <c r="AX37" s="424" t="s">
        <v>941</v>
      </c>
      <c r="AY37" s="424">
        <v>28.8</v>
      </c>
      <c r="BA37" s="424" t="s">
        <v>960</v>
      </c>
      <c r="BB37" s="424">
        <v>41.8</v>
      </c>
      <c r="BD37" s="424" t="s">
        <v>982</v>
      </c>
      <c r="BE37" s="424">
        <v>59</v>
      </c>
      <c r="BG37" s="424" t="s">
        <v>1005</v>
      </c>
      <c r="BH37" s="424">
        <v>80</v>
      </c>
      <c r="BJ37" s="424" t="s">
        <v>1028</v>
      </c>
      <c r="BK37" s="424">
        <v>140</v>
      </c>
      <c r="BM37" s="424" t="s">
        <v>1052</v>
      </c>
      <c r="BN37" s="424">
        <v>180</v>
      </c>
    </row>
    <row r="38" spans="1:66" ht="20.25" customHeight="1">
      <c r="A38" s="420">
        <v>150</v>
      </c>
      <c r="B38" s="407">
        <v>6</v>
      </c>
      <c r="C38" s="429">
        <v>168.3</v>
      </c>
      <c r="D38" s="430"/>
      <c r="E38" s="430"/>
      <c r="F38" s="431">
        <v>4.5</v>
      </c>
      <c r="G38" s="432"/>
      <c r="H38" s="433"/>
      <c r="I38" s="433"/>
      <c r="J38" s="433"/>
      <c r="K38" s="426"/>
      <c r="L38" s="426"/>
      <c r="M38" s="426"/>
      <c r="N38" s="426"/>
      <c r="O38" s="426"/>
      <c r="P38" s="426">
        <v>18.2</v>
      </c>
      <c r="Q38" s="426">
        <v>20.100000000000001</v>
      </c>
      <c r="R38" s="426">
        <v>22.5</v>
      </c>
      <c r="S38" s="426">
        <v>25.2</v>
      </c>
      <c r="T38" s="426">
        <v>28.2</v>
      </c>
      <c r="U38" s="426">
        <v>31.6</v>
      </c>
      <c r="V38" s="426">
        <v>34.6</v>
      </c>
      <c r="W38" s="426">
        <v>39</v>
      </c>
      <c r="X38" s="426">
        <v>42.7</v>
      </c>
      <c r="Y38" s="426">
        <v>48</v>
      </c>
      <c r="Z38" s="426">
        <v>54</v>
      </c>
      <c r="AA38" s="426">
        <v>60.1</v>
      </c>
      <c r="AB38" s="426">
        <v>65.099999999999994</v>
      </c>
      <c r="AC38" s="426">
        <v>73.099999999999994</v>
      </c>
      <c r="AD38" s="426">
        <v>80</v>
      </c>
      <c r="AE38" s="426">
        <v>88.3</v>
      </c>
      <c r="AF38" s="426">
        <v>96.9</v>
      </c>
      <c r="AG38" s="426">
        <v>102</v>
      </c>
      <c r="AH38" s="426">
        <v>108</v>
      </c>
      <c r="AI38" s="426">
        <v>117</v>
      </c>
      <c r="AJ38" s="426">
        <v>127</v>
      </c>
      <c r="AK38" s="426">
        <v>137</v>
      </c>
      <c r="AL38" s="426">
        <v>146</v>
      </c>
      <c r="AM38" s="426">
        <v>154</v>
      </c>
      <c r="AN38" s="426"/>
      <c r="AO38" s="435"/>
      <c r="AQ38" s="424">
        <v>16</v>
      </c>
      <c r="AR38" s="424" t="s">
        <v>907</v>
      </c>
      <c r="AS38" s="424">
        <v>17.5</v>
      </c>
      <c r="AU38" s="424" t="s">
        <v>923</v>
      </c>
      <c r="AV38" s="401">
        <v>23.7</v>
      </c>
      <c r="AX38" s="424" t="s">
        <v>942</v>
      </c>
      <c r="AY38" s="424">
        <v>30.8</v>
      </c>
      <c r="BA38" s="424" t="s">
        <v>961</v>
      </c>
      <c r="BB38" s="424">
        <v>46.5</v>
      </c>
      <c r="BD38" s="424" t="s">
        <v>983</v>
      </c>
      <c r="BE38" s="424">
        <v>64.3</v>
      </c>
      <c r="BG38" s="424" t="s">
        <v>1006</v>
      </c>
      <c r="BH38" s="424">
        <v>88.3</v>
      </c>
      <c r="BJ38" s="424" t="s">
        <v>1029</v>
      </c>
      <c r="BK38" s="424">
        <v>148</v>
      </c>
      <c r="BM38" s="424" t="s">
        <v>1053</v>
      </c>
      <c r="BN38" s="424">
        <v>190</v>
      </c>
    </row>
    <row r="39" spans="1:66" ht="20.25" customHeight="1">
      <c r="A39" s="420"/>
      <c r="B39" s="407">
        <v>7</v>
      </c>
      <c r="C39" s="430"/>
      <c r="D39" s="430"/>
      <c r="E39" s="429">
        <v>177.8</v>
      </c>
      <c r="F39" s="431">
        <v>5</v>
      </c>
      <c r="G39" s="432"/>
      <c r="H39" s="433"/>
      <c r="I39" s="433"/>
      <c r="J39" s="433"/>
      <c r="K39" s="426"/>
      <c r="L39" s="426"/>
      <c r="M39" s="426"/>
      <c r="N39" s="426"/>
      <c r="O39" s="426"/>
      <c r="P39" s="426"/>
      <c r="Q39" s="426">
        <v>21.3</v>
      </c>
      <c r="R39" s="426">
        <v>23.8</v>
      </c>
      <c r="S39" s="426">
        <v>26.6</v>
      </c>
      <c r="T39" s="426">
        <v>29.9</v>
      </c>
      <c r="U39" s="426">
        <v>33.5</v>
      </c>
      <c r="V39" s="426">
        <v>36.700000000000003</v>
      </c>
      <c r="W39" s="426">
        <v>41.4</v>
      </c>
      <c r="X39" s="426">
        <v>45.2</v>
      </c>
      <c r="Y39" s="426">
        <v>51</v>
      </c>
      <c r="Z39" s="426">
        <v>57.3</v>
      </c>
      <c r="AA39" s="426">
        <v>63.8</v>
      </c>
      <c r="AB39" s="426">
        <v>69.2</v>
      </c>
      <c r="AC39" s="426">
        <v>77.8</v>
      </c>
      <c r="AD39" s="426">
        <v>85.2</v>
      </c>
      <c r="AE39" s="426">
        <v>94.2</v>
      </c>
      <c r="AF39" s="426">
        <v>103</v>
      </c>
      <c r="AG39" s="426">
        <v>109</v>
      </c>
      <c r="AH39" s="426">
        <v>115</v>
      </c>
      <c r="AI39" s="426">
        <v>126</v>
      </c>
      <c r="AJ39" s="426">
        <v>136</v>
      </c>
      <c r="AK39" s="426">
        <v>147</v>
      </c>
      <c r="AL39" s="426">
        <v>158</v>
      </c>
      <c r="AM39" s="426">
        <v>167</v>
      </c>
      <c r="AN39" s="426"/>
      <c r="AO39" s="435"/>
      <c r="AQ39" s="424">
        <v>17</v>
      </c>
      <c r="AR39" s="424" t="s">
        <v>908</v>
      </c>
      <c r="AS39" s="424">
        <v>18.5</v>
      </c>
      <c r="AU39" s="424" t="s">
        <v>924</v>
      </c>
      <c r="AV39" s="401">
        <v>25.3</v>
      </c>
      <c r="AX39" s="424" t="s">
        <v>943</v>
      </c>
      <c r="AY39" s="424">
        <v>34</v>
      </c>
      <c r="BA39" s="424" t="s">
        <v>962</v>
      </c>
      <c r="BB39" s="424">
        <v>50.4</v>
      </c>
      <c r="BD39" s="424" t="s">
        <v>984</v>
      </c>
      <c r="BE39" s="424">
        <v>70.7</v>
      </c>
      <c r="BG39" s="424" t="s">
        <v>1007</v>
      </c>
      <c r="BH39" s="424">
        <v>96.9</v>
      </c>
      <c r="BJ39" s="424" t="s">
        <v>1030</v>
      </c>
      <c r="BK39" s="424">
        <v>163</v>
      </c>
      <c r="BM39" s="424" t="s">
        <v>1054</v>
      </c>
      <c r="BN39" s="424">
        <v>210</v>
      </c>
    </row>
    <row r="40" spans="1:66" ht="20.25" customHeight="1">
      <c r="A40" s="420"/>
      <c r="B40" s="407"/>
      <c r="C40" s="430"/>
      <c r="D40" s="430"/>
      <c r="E40" s="429">
        <v>193.7</v>
      </c>
      <c r="F40" s="431">
        <v>5.6</v>
      </c>
      <c r="G40" s="432"/>
      <c r="H40" s="433"/>
      <c r="I40" s="433"/>
      <c r="J40" s="433"/>
      <c r="K40" s="426"/>
      <c r="L40" s="426"/>
      <c r="M40" s="426"/>
      <c r="N40" s="426"/>
      <c r="O40" s="426"/>
      <c r="P40" s="426"/>
      <c r="Q40" s="426"/>
      <c r="R40" s="426">
        <v>26</v>
      </c>
      <c r="S40" s="426">
        <v>29.1</v>
      </c>
      <c r="T40" s="426">
        <v>32.700000000000003</v>
      </c>
      <c r="U40" s="426">
        <v>36.6</v>
      </c>
      <c r="V40" s="426">
        <v>40.1</v>
      </c>
      <c r="W40" s="426">
        <v>45.3</v>
      </c>
      <c r="X40" s="426">
        <v>49.6</v>
      </c>
      <c r="Y40" s="426">
        <v>55.9</v>
      </c>
      <c r="Z40" s="426">
        <v>62.9</v>
      </c>
      <c r="AA40" s="426">
        <v>70.099999999999994</v>
      </c>
      <c r="AB40" s="426">
        <v>76</v>
      </c>
      <c r="AC40" s="426">
        <v>85.7</v>
      </c>
      <c r="AD40" s="426">
        <v>93.9</v>
      </c>
      <c r="AE40" s="426">
        <v>104</v>
      </c>
      <c r="AF40" s="426">
        <v>114</v>
      </c>
      <c r="AG40" s="426">
        <v>121</v>
      </c>
      <c r="AH40" s="426">
        <v>128</v>
      </c>
      <c r="AI40" s="426">
        <v>140</v>
      </c>
      <c r="AJ40" s="426">
        <v>152</v>
      </c>
      <c r="AK40" s="426">
        <v>165</v>
      </c>
      <c r="AL40" s="426">
        <v>177</v>
      </c>
      <c r="AM40" s="426">
        <v>188</v>
      </c>
      <c r="AN40" s="426"/>
      <c r="AO40" s="435"/>
      <c r="AQ40" s="424"/>
      <c r="AR40" s="424"/>
      <c r="AS40" s="424"/>
      <c r="AU40" s="424" t="s">
        <v>926</v>
      </c>
      <c r="AV40" s="401">
        <v>27.7</v>
      </c>
      <c r="AX40" s="424" t="s">
        <v>944</v>
      </c>
      <c r="AY40" s="424">
        <v>36.5</v>
      </c>
      <c r="BA40" s="424" t="s">
        <v>963</v>
      </c>
      <c r="BB40" s="424">
        <v>55.1</v>
      </c>
      <c r="BD40" s="424" t="s">
        <v>985</v>
      </c>
      <c r="BE40" s="424">
        <v>77.099999999999994</v>
      </c>
      <c r="BG40" s="424" t="s">
        <v>1008</v>
      </c>
      <c r="BH40" s="424">
        <v>102</v>
      </c>
      <c r="BJ40" s="424" t="s">
        <v>1031</v>
      </c>
      <c r="BK40" s="424">
        <v>117</v>
      </c>
      <c r="BM40" s="424" t="s">
        <v>1055</v>
      </c>
      <c r="BN40" s="424">
        <v>230</v>
      </c>
    </row>
    <row r="41" spans="1:66" ht="20.25" customHeight="1">
      <c r="A41" s="420">
        <v>200</v>
      </c>
      <c r="B41" s="407">
        <v>8</v>
      </c>
      <c r="C41" s="430">
        <v>219</v>
      </c>
      <c r="D41" s="430"/>
      <c r="E41" s="430"/>
      <c r="F41" s="431">
        <v>6.3</v>
      </c>
      <c r="G41" s="432"/>
      <c r="H41" s="433"/>
      <c r="I41" s="433"/>
      <c r="J41" s="433"/>
      <c r="K41" s="426"/>
      <c r="L41" s="426"/>
      <c r="M41" s="426"/>
      <c r="N41" s="426"/>
      <c r="O41" s="426"/>
      <c r="P41" s="426"/>
      <c r="Q41" s="426"/>
      <c r="R41" s="426"/>
      <c r="S41" s="426">
        <v>33.1</v>
      </c>
      <c r="T41" s="426">
        <v>37.1</v>
      </c>
      <c r="U41" s="426">
        <v>41.6</v>
      </c>
      <c r="V41" s="426">
        <v>45.6</v>
      </c>
      <c r="W41" s="426">
        <v>51.6</v>
      </c>
      <c r="X41" s="426">
        <v>56.5</v>
      </c>
      <c r="Y41" s="426">
        <v>63.7</v>
      </c>
      <c r="Z41" s="426">
        <v>71.8</v>
      </c>
      <c r="AA41" s="426">
        <v>80.099999999999994</v>
      </c>
      <c r="AB41" s="426">
        <v>87</v>
      </c>
      <c r="AC41" s="426">
        <v>98.2</v>
      </c>
      <c r="AD41" s="426">
        <v>108</v>
      </c>
      <c r="AE41" s="426">
        <v>120</v>
      </c>
      <c r="AF41" s="426">
        <v>132</v>
      </c>
      <c r="AG41" s="426">
        <v>140</v>
      </c>
      <c r="AH41" s="426">
        <v>148</v>
      </c>
      <c r="AI41" s="426">
        <v>163</v>
      </c>
      <c r="AJ41" s="426">
        <v>117</v>
      </c>
      <c r="AK41" s="426">
        <v>193</v>
      </c>
      <c r="AL41" s="426">
        <v>209</v>
      </c>
      <c r="AM41" s="426">
        <v>223</v>
      </c>
      <c r="AN41" s="426">
        <v>235</v>
      </c>
      <c r="AO41" s="435">
        <v>247</v>
      </c>
      <c r="AX41" s="424" t="s">
        <v>945</v>
      </c>
      <c r="AY41" s="424">
        <v>39.4</v>
      </c>
      <c r="BA41" s="424" t="s">
        <v>964</v>
      </c>
      <c r="BB41" s="424">
        <v>59.6</v>
      </c>
      <c r="BD41" s="424" t="s">
        <v>986</v>
      </c>
      <c r="BE41" s="424">
        <v>81.2</v>
      </c>
      <c r="BG41" s="424" t="s">
        <v>1009</v>
      </c>
      <c r="BH41" s="424">
        <v>180</v>
      </c>
      <c r="BJ41" s="424" t="s">
        <v>1032</v>
      </c>
      <c r="BK41" s="424">
        <v>193</v>
      </c>
      <c r="BM41" s="424" t="s">
        <v>1056</v>
      </c>
      <c r="BN41" s="424">
        <v>253</v>
      </c>
    </row>
    <row r="42" spans="1:66" ht="20.25" customHeight="1">
      <c r="A42" s="420"/>
      <c r="B42" s="407">
        <v>9</v>
      </c>
      <c r="C42" s="413"/>
      <c r="D42" s="413"/>
      <c r="E42" s="412">
        <v>244.5</v>
      </c>
      <c r="F42" s="414">
        <v>6.3</v>
      </c>
      <c r="G42" s="391"/>
      <c r="H42" s="392"/>
      <c r="I42" s="392"/>
      <c r="J42" s="392"/>
      <c r="K42" s="401"/>
      <c r="L42" s="401"/>
      <c r="M42" s="401"/>
      <c r="N42" s="401"/>
      <c r="O42" s="401"/>
      <c r="P42" s="401"/>
      <c r="Q42" s="401"/>
      <c r="R42" s="401"/>
      <c r="S42" s="401">
        <v>37</v>
      </c>
      <c r="T42" s="401">
        <v>41.6</v>
      </c>
      <c r="U42" s="401">
        <v>46.7</v>
      </c>
      <c r="V42" s="401">
        <v>51.2</v>
      </c>
      <c r="W42" s="401">
        <v>57.8</v>
      </c>
      <c r="X42" s="401">
        <v>63.3</v>
      </c>
      <c r="Y42" s="401">
        <v>71.5</v>
      </c>
      <c r="Z42" s="401">
        <v>80.599999999999994</v>
      </c>
      <c r="AA42" s="401">
        <v>90.2</v>
      </c>
      <c r="AB42" s="401">
        <v>98</v>
      </c>
      <c r="AC42" s="401">
        <v>111</v>
      </c>
      <c r="AD42" s="401">
        <v>122</v>
      </c>
      <c r="AE42" s="401">
        <v>135</v>
      </c>
      <c r="AF42" s="401">
        <v>149</v>
      </c>
      <c r="AG42" s="401">
        <v>159</v>
      </c>
      <c r="AH42" s="401">
        <v>168</v>
      </c>
      <c r="AI42" s="401">
        <v>185</v>
      </c>
      <c r="AJ42" s="401">
        <v>202</v>
      </c>
      <c r="AK42" s="401">
        <v>221</v>
      </c>
      <c r="AL42" s="401">
        <v>240</v>
      </c>
      <c r="AM42" s="401">
        <v>257</v>
      </c>
      <c r="AN42" s="401">
        <v>273</v>
      </c>
      <c r="AO42" s="393">
        <v>288</v>
      </c>
      <c r="BA42" s="424" t="s">
        <v>965</v>
      </c>
      <c r="BB42" s="424">
        <v>62.4</v>
      </c>
      <c r="BD42" s="424" t="s">
        <v>987</v>
      </c>
      <c r="BE42" s="424">
        <v>85</v>
      </c>
      <c r="BG42" s="424" t="s">
        <v>1010</v>
      </c>
      <c r="BH42" s="424">
        <v>117</v>
      </c>
      <c r="BJ42" s="424" t="s">
        <v>1033</v>
      </c>
      <c r="BK42" s="424">
        <v>209</v>
      </c>
      <c r="BM42" s="424" t="s">
        <v>1057</v>
      </c>
      <c r="BN42" s="424">
        <v>275</v>
      </c>
    </row>
    <row r="43" spans="1:66" ht="20.25" customHeight="1">
      <c r="A43" s="420">
        <v>250</v>
      </c>
      <c r="B43" s="407">
        <v>10</v>
      </c>
      <c r="C43" s="413">
        <v>273</v>
      </c>
      <c r="D43" s="413"/>
      <c r="E43" s="413"/>
      <c r="F43" s="414">
        <v>6.3</v>
      </c>
      <c r="G43" s="391"/>
      <c r="H43" s="392"/>
      <c r="I43" s="392"/>
      <c r="J43" s="392"/>
      <c r="K43" s="401"/>
      <c r="L43" s="401"/>
      <c r="M43" s="401"/>
      <c r="N43" s="401"/>
      <c r="O43" s="401"/>
      <c r="P43" s="401"/>
      <c r="Q43" s="401"/>
      <c r="R43" s="401"/>
      <c r="S43" s="425">
        <v>41.4</v>
      </c>
      <c r="T43" s="425">
        <v>46.6</v>
      </c>
      <c r="U43" s="425">
        <v>52.3</v>
      </c>
      <c r="V43" s="425">
        <v>57.3</v>
      </c>
      <c r="W43" s="425">
        <v>64.900000000000006</v>
      </c>
      <c r="X43" s="425">
        <v>71.099999999999994</v>
      </c>
      <c r="Y43" s="425">
        <v>80.3</v>
      </c>
      <c r="Z43" s="425">
        <v>90.6</v>
      </c>
      <c r="AA43" s="425">
        <v>101</v>
      </c>
      <c r="AB43" s="425">
        <v>110</v>
      </c>
      <c r="AC43" s="425">
        <v>125</v>
      </c>
      <c r="AD43" s="425">
        <v>137</v>
      </c>
      <c r="AE43" s="425">
        <v>153</v>
      </c>
      <c r="AF43" s="425">
        <v>169</v>
      </c>
      <c r="AG43" s="425">
        <v>180</v>
      </c>
      <c r="AH43" s="425">
        <v>190</v>
      </c>
      <c r="AI43" s="425">
        <v>210</v>
      </c>
      <c r="AJ43" s="425">
        <v>230</v>
      </c>
      <c r="AK43" s="425">
        <v>253</v>
      </c>
      <c r="AL43" s="425">
        <v>275</v>
      </c>
      <c r="AM43" s="425">
        <v>296</v>
      </c>
      <c r="AN43" s="425">
        <v>315</v>
      </c>
      <c r="AO43" s="427">
        <v>333</v>
      </c>
      <c r="BA43" s="424" t="s">
        <v>966</v>
      </c>
      <c r="BB43" s="424">
        <v>64.900000000000006</v>
      </c>
      <c r="BD43" s="424" t="s">
        <v>988</v>
      </c>
      <c r="BE43" s="424">
        <v>92.1</v>
      </c>
      <c r="BG43" s="424" t="s">
        <v>1011</v>
      </c>
      <c r="BH43" s="424">
        <v>127</v>
      </c>
      <c r="BJ43" s="424" t="s">
        <v>1034</v>
      </c>
      <c r="BK43" s="424">
        <v>223</v>
      </c>
      <c r="BM43" s="424" t="s">
        <v>1058</v>
      </c>
      <c r="BN43" s="424">
        <v>296</v>
      </c>
    </row>
    <row r="44" spans="1:66" ht="20.25" customHeight="1">
      <c r="A44" s="420">
        <v>300</v>
      </c>
      <c r="B44" s="407">
        <v>12</v>
      </c>
      <c r="C44" s="412">
        <v>323.89999999999998</v>
      </c>
      <c r="D44" s="413"/>
      <c r="E44" s="413"/>
      <c r="F44" s="414">
        <v>7.1</v>
      </c>
      <c r="G44" s="391"/>
      <c r="H44" s="392"/>
      <c r="I44" s="392"/>
      <c r="J44" s="392"/>
      <c r="K44" s="401"/>
      <c r="L44" s="401"/>
      <c r="M44" s="401"/>
      <c r="N44" s="401"/>
      <c r="O44" s="401"/>
      <c r="P44" s="401"/>
      <c r="Q44" s="401"/>
      <c r="R44" s="401"/>
      <c r="S44" s="401"/>
      <c r="T44" s="401">
        <v>55.5</v>
      </c>
      <c r="U44" s="401">
        <v>62.3</v>
      </c>
      <c r="V44" s="401">
        <v>68.400000000000006</v>
      </c>
      <c r="W44" s="401">
        <v>77.400000000000006</v>
      </c>
      <c r="X44" s="401">
        <v>84.9</v>
      </c>
      <c r="Y44" s="401">
        <v>96</v>
      </c>
      <c r="Z44" s="401">
        <v>108</v>
      </c>
      <c r="AA44" s="401">
        <v>121</v>
      </c>
      <c r="AB44" s="401">
        <v>132</v>
      </c>
      <c r="AC44" s="401">
        <v>150</v>
      </c>
      <c r="AD44" s="401">
        <v>165</v>
      </c>
      <c r="AE44" s="401">
        <v>184</v>
      </c>
      <c r="AF44" s="401">
        <v>204</v>
      </c>
      <c r="AG44" s="401">
        <v>217</v>
      </c>
      <c r="AH44" s="401">
        <v>230</v>
      </c>
      <c r="AI44" s="401">
        <v>256</v>
      </c>
      <c r="AJ44" s="401">
        <v>280</v>
      </c>
      <c r="AK44" s="401">
        <v>310</v>
      </c>
      <c r="AL44" s="401">
        <v>338</v>
      </c>
      <c r="AM44" s="401">
        <v>365</v>
      </c>
      <c r="AN44" s="401">
        <v>390</v>
      </c>
      <c r="AO44" s="393">
        <v>415</v>
      </c>
      <c r="BA44" s="424" t="s">
        <v>967</v>
      </c>
      <c r="BB44" s="424">
        <v>69.5</v>
      </c>
      <c r="BD44" s="424" t="s">
        <v>989</v>
      </c>
      <c r="BE44" s="424">
        <v>98.4</v>
      </c>
      <c r="BG44" s="424" t="s">
        <v>1012</v>
      </c>
      <c r="BH44" s="424">
        <v>137</v>
      </c>
      <c r="BJ44" s="424" t="s">
        <v>1037</v>
      </c>
      <c r="BK44" s="424">
        <v>235</v>
      </c>
      <c r="BM44" s="424" t="s">
        <v>1059</v>
      </c>
      <c r="BN44" s="424">
        <v>315</v>
      </c>
    </row>
    <row r="45" spans="1:66" ht="20.25" customHeight="1">
      <c r="A45" s="420">
        <v>350</v>
      </c>
      <c r="B45" s="407">
        <v>14</v>
      </c>
      <c r="C45" s="412">
        <v>355.6</v>
      </c>
      <c r="D45" s="413"/>
      <c r="E45" s="413"/>
      <c r="F45" s="414">
        <v>8</v>
      </c>
      <c r="G45" s="391"/>
      <c r="H45" s="392"/>
      <c r="I45" s="392"/>
      <c r="J45" s="392"/>
      <c r="K45" s="401"/>
      <c r="L45" s="401"/>
      <c r="M45" s="401"/>
      <c r="N45" s="401"/>
      <c r="O45" s="401"/>
      <c r="P45" s="401"/>
      <c r="Q45" s="401"/>
      <c r="R45" s="401"/>
      <c r="S45" s="401"/>
      <c r="T45" s="401"/>
      <c r="U45" s="401">
        <v>68.599999999999994</v>
      </c>
      <c r="V45" s="401">
        <v>75.3</v>
      </c>
      <c r="W45" s="401">
        <v>85.2</v>
      </c>
      <c r="X45" s="401">
        <v>93.5</v>
      </c>
      <c r="Y45" s="401">
        <v>106</v>
      </c>
      <c r="Z45" s="401">
        <v>120</v>
      </c>
      <c r="AA45" s="401">
        <v>134</v>
      </c>
      <c r="AB45" s="401">
        <v>146</v>
      </c>
      <c r="AC45" s="401">
        <v>166</v>
      </c>
      <c r="AD45" s="401">
        <v>183</v>
      </c>
      <c r="AE45" s="401">
        <v>204</v>
      </c>
      <c r="AF45" s="401">
        <v>226</v>
      </c>
      <c r="AG45" s="401">
        <v>241</v>
      </c>
      <c r="AH45" s="401">
        <v>255</v>
      </c>
      <c r="AI45" s="401">
        <v>284</v>
      </c>
      <c r="AJ45" s="401">
        <v>331</v>
      </c>
      <c r="AK45" s="401">
        <v>345</v>
      </c>
      <c r="AL45" s="401">
        <v>377</v>
      </c>
      <c r="AM45" s="401">
        <v>408</v>
      </c>
      <c r="AN45" s="401">
        <v>437</v>
      </c>
      <c r="AO45" s="393">
        <v>466</v>
      </c>
      <c r="BD45" s="424" t="s">
        <v>990</v>
      </c>
      <c r="BE45" s="424">
        <v>105</v>
      </c>
      <c r="BG45" s="424" t="s">
        <v>1013</v>
      </c>
      <c r="BH45" s="424">
        <v>146</v>
      </c>
      <c r="BJ45" s="424" t="s">
        <v>1036</v>
      </c>
      <c r="BK45" s="424">
        <v>247</v>
      </c>
      <c r="BM45" s="424" t="s">
        <v>1060</v>
      </c>
      <c r="BN45" s="424">
        <v>333</v>
      </c>
    </row>
    <row r="46" spans="1:66" ht="20.25" customHeight="1">
      <c r="A46" s="420">
        <v>400</v>
      </c>
      <c r="B46" s="407">
        <v>16</v>
      </c>
      <c r="C46" s="412">
        <v>406.4</v>
      </c>
      <c r="D46" s="413"/>
      <c r="E46" s="413"/>
      <c r="F46" s="414">
        <v>8.8000000000000007</v>
      </c>
      <c r="G46" s="391"/>
      <c r="H46" s="392"/>
      <c r="I46" s="392"/>
      <c r="J46" s="392"/>
      <c r="K46" s="401"/>
      <c r="L46" s="401"/>
      <c r="M46" s="401"/>
      <c r="N46" s="401"/>
      <c r="O46" s="401"/>
      <c r="P46" s="401"/>
      <c r="Q46" s="401"/>
      <c r="R46" s="401"/>
      <c r="S46" s="401"/>
      <c r="T46" s="401"/>
      <c r="U46" s="401"/>
      <c r="V46" s="401">
        <v>86.3</v>
      </c>
      <c r="W46" s="401">
        <v>97.8</v>
      </c>
      <c r="X46" s="401">
        <v>107</v>
      </c>
      <c r="Y46" s="401">
        <v>121</v>
      </c>
      <c r="Z46" s="401">
        <v>137</v>
      </c>
      <c r="AA46" s="401">
        <v>154</v>
      </c>
      <c r="AB46" s="401">
        <v>168</v>
      </c>
      <c r="AC46" s="401">
        <v>191</v>
      </c>
      <c r="AD46" s="401">
        <v>210</v>
      </c>
      <c r="AE46" s="401">
        <v>235</v>
      </c>
      <c r="AF46" s="401">
        <v>261</v>
      </c>
      <c r="AG46" s="401">
        <v>278</v>
      </c>
      <c r="AH46" s="401">
        <v>295</v>
      </c>
      <c r="AI46" s="401">
        <v>329</v>
      </c>
      <c r="AJ46" s="401">
        <v>361</v>
      </c>
      <c r="AK46" s="401">
        <v>401</v>
      </c>
      <c r="AL46" s="401">
        <v>439</v>
      </c>
      <c r="AM46" s="401">
        <v>477</v>
      </c>
      <c r="AN46" s="401">
        <v>513</v>
      </c>
      <c r="AO46" s="393">
        <v>547</v>
      </c>
      <c r="BG46" s="424" t="s">
        <v>1014</v>
      </c>
      <c r="BH46" s="424">
        <v>154</v>
      </c>
    </row>
    <row r="47" spans="1:66" ht="20.25" customHeight="1">
      <c r="A47" s="420">
        <v>450</v>
      </c>
      <c r="B47" s="407">
        <v>18</v>
      </c>
      <c r="C47" s="413">
        <v>457</v>
      </c>
      <c r="D47" s="413"/>
      <c r="E47" s="413"/>
      <c r="F47" s="414">
        <v>10</v>
      </c>
      <c r="G47" s="391"/>
      <c r="H47" s="392"/>
      <c r="I47" s="392"/>
      <c r="J47" s="392"/>
      <c r="K47" s="401"/>
      <c r="L47" s="401"/>
      <c r="M47" s="401"/>
      <c r="N47" s="401"/>
      <c r="O47" s="401"/>
      <c r="P47" s="401"/>
      <c r="Q47" s="401"/>
      <c r="R47" s="401"/>
      <c r="S47" s="401"/>
      <c r="T47" s="401"/>
      <c r="U47" s="401"/>
      <c r="V47" s="401"/>
      <c r="W47" s="401">
        <v>110</v>
      </c>
      <c r="X47" s="401">
        <v>121</v>
      </c>
      <c r="Y47" s="401">
        <v>137</v>
      </c>
      <c r="Z47" s="401">
        <v>155</v>
      </c>
      <c r="AA47" s="401">
        <v>174</v>
      </c>
      <c r="AB47" s="401">
        <v>190</v>
      </c>
      <c r="AC47" s="401">
        <v>216</v>
      </c>
      <c r="AD47" s="401">
        <v>238</v>
      </c>
      <c r="AE47" s="401">
        <v>266</v>
      </c>
      <c r="AF47" s="401">
        <v>296</v>
      </c>
      <c r="AG47" s="401">
        <v>316</v>
      </c>
      <c r="AH47" s="401">
        <v>335</v>
      </c>
      <c r="AI47" s="401">
        <v>374</v>
      </c>
      <c r="AJ47" s="401">
        <v>411</v>
      </c>
      <c r="AK47" s="401">
        <v>457</v>
      </c>
      <c r="AL47" s="401">
        <v>502</v>
      </c>
      <c r="AM47" s="401">
        <v>545</v>
      </c>
      <c r="AN47" s="401">
        <v>587</v>
      </c>
      <c r="AO47" s="393">
        <v>628</v>
      </c>
    </row>
    <row r="48" spans="1:66" ht="20.25" customHeight="1">
      <c r="A48" s="420">
        <v>500</v>
      </c>
      <c r="B48" s="407">
        <v>20</v>
      </c>
      <c r="C48" s="413">
        <v>508</v>
      </c>
      <c r="D48" s="413"/>
      <c r="E48" s="413"/>
      <c r="F48" s="414">
        <v>11</v>
      </c>
      <c r="G48" s="391"/>
      <c r="H48" s="392"/>
      <c r="I48" s="392"/>
      <c r="J48" s="392"/>
      <c r="K48" s="401"/>
      <c r="L48" s="401"/>
      <c r="M48" s="401"/>
      <c r="N48" s="401"/>
      <c r="O48" s="401"/>
      <c r="P48" s="401"/>
      <c r="Q48" s="401"/>
      <c r="R48" s="401"/>
      <c r="S48" s="401"/>
      <c r="T48" s="401"/>
      <c r="U48" s="401"/>
      <c r="V48" s="401"/>
      <c r="W48" s="401"/>
      <c r="X48" s="401">
        <v>135</v>
      </c>
      <c r="Y48" s="401">
        <v>153</v>
      </c>
      <c r="Z48" s="401">
        <v>173</v>
      </c>
      <c r="AA48" s="401">
        <v>194</v>
      </c>
      <c r="AB48" s="401">
        <v>212</v>
      </c>
      <c r="AC48" s="401">
        <v>241</v>
      </c>
      <c r="AD48" s="401">
        <v>266</v>
      </c>
      <c r="AE48" s="401">
        <v>298</v>
      </c>
      <c r="AF48" s="401">
        <v>331</v>
      </c>
      <c r="AG48" s="401">
        <v>354</v>
      </c>
      <c r="AH48" s="401">
        <v>376</v>
      </c>
      <c r="AI48" s="401">
        <v>419</v>
      </c>
      <c r="AJ48" s="401">
        <v>462</v>
      </c>
      <c r="AK48" s="401">
        <v>514</v>
      </c>
      <c r="AL48" s="401">
        <v>565</v>
      </c>
      <c r="AM48" s="401">
        <v>614</v>
      </c>
      <c r="AN48" s="401">
        <v>663</v>
      </c>
      <c r="AO48" s="393">
        <v>710</v>
      </c>
    </row>
    <row r="49" spans="1:41" ht="20.25" customHeight="1">
      <c r="A49" s="420">
        <v>550</v>
      </c>
      <c r="B49" s="407">
        <v>22</v>
      </c>
      <c r="C49" s="413"/>
      <c r="D49" s="413"/>
      <c r="E49" s="413">
        <v>559</v>
      </c>
      <c r="F49" s="414">
        <v>12.5</v>
      </c>
      <c r="G49" s="391"/>
      <c r="H49" s="392"/>
      <c r="I49" s="392"/>
      <c r="J49" s="392"/>
      <c r="K49" s="401"/>
      <c r="L49" s="401"/>
      <c r="M49" s="401"/>
      <c r="N49" s="401"/>
      <c r="O49" s="401"/>
      <c r="P49" s="401"/>
      <c r="Q49" s="401"/>
      <c r="R49" s="401"/>
      <c r="S49" s="401"/>
      <c r="T49" s="401"/>
      <c r="U49" s="401"/>
      <c r="V49" s="401"/>
      <c r="W49" s="401"/>
      <c r="X49" s="401"/>
      <c r="Y49" s="401">
        <v>168</v>
      </c>
      <c r="Z49" s="401">
        <v>191</v>
      </c>
      <c r="AA49" s="401">
        <v>214</v>
      </c>
      <c r="AB49" s="401">
        <v>234</v>
      </c>
      <c r="AC49" s="401">
        <v>266</v>
      </c>
      <c r="AD49" s="401">
        <v>294</v>
      </c>
      <c r="AE49" s="401">
        <v>329</v>
      </c>
      <c r="AF49" s="401">
        <v>367</v>
      </c>
      <c r="AG49" s="401">
        <v>391</v>
      </c>
      <c r="AH49" s="401">
        <v>416</v>
      </c>
      <c r="AI49" s="401">
        <v>464</v>
      </c>
      <c r="AJ49" s="401">
        <v>512</v>
      </c>
      <c r="AK49" s="401">
        <v>570</v>
      </c>
      <c r="AL49" s="401">
        <v>628</v>
      </c>
      <c r="AM49" s="401">
        <v>684</v>
      </c>
      <c r="AN49" s="401">
        <v>738</v>
      </c>
      <c r="AO49" s="393">
        <v>792</v>
      </c>
    </row>
    <row r="50" spans="1:41" ht="20.25" customHeight="1">
      <c r="A50" s="420">
        <v>600</v>
      </c>
      <c r="B50" s="407">
        <v>24</v>
      </c>
      <c r="C50" s="413">
        <v>610</v>
      </c>
      <c r="D50" s="413"/>
      <c r="E50" s="413"/>
      <c r="F50" s="414">
        <v>12.5</v>
      </c>
      <c r="G50" s="391"/>
      <c r="H50" s="392"/>
      <c r="I50" s="392"/>
      <c r="J50" s="392"/>
      <c r="K50" s="401"/>
      <c r="L50" s="401"/>
      <c r="M50" s="401"/>
      <c r="N50" s="401"/>
      <c r="O50" s="401"/>
      <c r="P50" s="401"/>
      <c r="Q50" s="401"/>
      <c r="R50" s="401"/>
      <c r="S50" s="401"/>
      <c r="T50" s="401"/>
      <c r="U50" s="401"/>
      <c r="V50" s="401"/>
      <c r="W50" s="401"/>
      <c r="X50" s="401"/>
      <c r="Y50" s="401">
        <v>184</v>
      </c>
      <c r="Z50" s="401">
        <v>209</v>
      </c>
      <c r="AA50" s="401">
        <v>234</v>
      </c>
      <c r="AB50" s="401">
        <v>256</v>
      </c>
      <c r="AC50" s="401">
        <v>291</v>
      </c>
      <c r="AD50" s="401">
        <v>322</v>
      </c>
      <c r="AE50" s="401">
        <v>361</v>
      </c>
      <c r="AF50" s="401">
        <v>402</v>
      </c>
      <c r="AG50" s="401">
        <v>429</v>
      </c>
      <c r="AH50" s="401">
        <v>456</v>
      </c>
      <c r="AI50" s="401">
        <v>510</v>
      </c>
      <c r="AJ50" s="401">
        <v>562</v>
      </c>
      <c r="AK50" s="401">
        <v>627</v>
      </c>
      <c r="AL50" s="401">
        <v>691</v>
      </c>
      <c r="AM50" s="401">
        <v>753</v>
      </c>
      <c r="AN50" s="401">
        <v>814</v>
      </c>
      <c r="AO50" s="393">
        <v>874</v>
      </c>
    </row>
    <row r="51" spans="1:41" ht="20.25" customHeight="1" thickBot="1">
      <c r="A51" s="421">
        <v>650</v>
      </c>
      <c r="B51" s="408">
        <v>26</v>
      </c>
      <c r="C51" s="417"/>
      <c r="D51" s="417"/>
      <c r="E51" s="417">
        <v>660</v>
      </c>
      <c r="F51" s="418">
        <v>14.2</v>
      </c>
      <c r="G51" s="394"/>
      <c r="H51" s="395"/>
      <c r="I51" s="395"/>
      <c r="J51" s="395"/>
      <c r="K51" s="404"/>
      <c r="L51" s="404"/>
      <c r="M51" s="404"/>
      <c r="N51" s="404"/>
      <c r="O51" s="404"/>
      <c r="P51" s="404"/>
      <c r="Q51" s="404"/>
      <c r="R51" s="404"/>
      <c r="S51" s="404"/>
      <c r="T51" s="404"/>
      <c r="U51" s="404"/>
      <c r="V51" s="404"/>
      <c r="W51" s="404"/>
      <c r="X51" s="404"/>
      <c r="Y51" s="404"/>
      <c r="Z51" s="404">
        <v>226</v>
      </c>
      <c r="AA51" s="404">
        <v>254</v>
      </c>
      <c r="AB51" s="404">
        <v>277</v>
      </c>
      <c r="AC51" s="404">
        <v>316</v>
      </c>
      <c r="AD51" s="404">
        <v>349</v>
      </c>
      <c r="AE51" s="404">
        <v>392</v>
      </c>
      <c r="AF51" s="404">
        <v>436</v>
      </c>
      <c r="AG51" s="404">
        <v>466</v>
      </c>
      <c r="AH51" s="404">
        <v>496</v>
      </c>
      <c r="AI51" s="404">
        <v>554</v>
      </c>
      <c r="AJ51" s="404">
        <v>612</v>
      </c>
      <c r="AK51" s="404">
        <v>683</v>
      </c>
      <c r="AL51" s="404">
        <v>752</v>
      </c>
      <c r="AM51" s="404">
        <v>821</v>
      </c>
      <c r="AN51" s="404">
        <v>888</v>
      </c>
      <c r="AO51" s="396">
        <v>954</v>
      </c>
    </row>
    <row r="52" spans="1:41" ht="45" customHeight="1">
      <c r="A52" s="544" t="s">
        <v>891</v>
      </c>
      <c r="B52" s="545"/>
      <c r="C52" s="545"/>
      <c r="D52" s="545"/>
      <c r="E52" s="545"/>
      <c r="F52" s="545"/>
      <c r="G52" s="545"/>
      <c r="H52" s="545"/>
      <c r="I52" s="545"/>
      <c r="J52" s="545"/>
      <c r="K52" s="545"/>
      <c r="L52" s="545"/>
      <c r="M52" s="545"/>
      <c r="N52" s="545"/>
      <c r="O52" s="545"/>
      <c r="P52" s="545"/>
      <c r="Q52" s="545"/>
      <c r="R52" s="545"/>
      <c r="S52" s="545"/>
      <c r="T52" s="545"/>
      <c r="U52" s="545"/>
      <c r="V52" s="545"/>
      <c r="W52" s="545"/>
      <c r="X52" s="545"/>
      <c r="Y52" s="545"/>
      <c r="Z52" s="545"/>
      <c r="AA52" s="545"/>
      <c r="AB52" s="545"/>
      <c r="AC52" s="545"/>
      <c r="AD52" s="545"/>
      <c r="AE52" s="545"/>
      <c r="AF52" s="545"/>
      <c r="AG52" s="545"/>
      <c r="AH52" s="545"/>
      <c r="AI52" s="545"/>
      <c r="AJ52" s="545"/>
      <c r="AK52" s="545"/>
      <c r="AL52" s="545"/>
      <c r="AM52" s="545"/>
      <c r="AN52" s="545"/>
      <c r="AO52" s="545"/>
    </row>
  </sheetData>
  <mergeCells count="39">
    <mergeCell ref="AE1:AE2"/>
    <mergeCell ref="AF1:AF2"/>
    <mergeCell ref="AG1:AG2"/>
    <mergeCell ref="AN1:AN2"/>
    <mergeCell ref="AO1:AO2"/>
    <mergeCell ref="AH1:AH2"/>
    <mergeCell ref="AI1:AI2"/>
    <mergeCell ref="AJ1:AJ2"/>
    <mergeCell ref="AK1:AK2"/>
    <mergeCell ref="AL1:AL2"/>
    <mergeCell ref="AM1:AM2"/>
    <mergeCell ref="AD1:AD2"/>
    <mergeCell ref="S1:S2"/>
    <mergeCell ref="T1:T2"/>
    <mergeCell ref="U1:U2"/>
    <mergeCell ref="V1:V2"/>
    <mergeCell ref="W1:W2"/>
    <mergeCell ref="X1:X2"/>
    <mergeCell ref="Y1:Y2"/>
    <mergeCell ref="Z1:Z2"/>
    <mergeCell ref="AA1:AA2"/>
    <mergeCell ref="AB1:AB2"/>
    <mergeCell ref="AC1:AC2"/>
    <mergeCell ref="R1:R2"/>
    <mergeCell ref="A52:AO52"/>
    <mergeCell ref="A1:B1"/>
    <mergeCell ref="C1:E1"/>
    <mergeCell ref="F1:F2"/>
    <mergeCell ref="G1:G2"/>
    <mergeCell ref="H1:H2"/>
    <mergeCell ref="I1:I2"/>
    <mergeCell ref="J1:J2"/>
    <mergeCell ref="K1:K2"/>
    <mergeCell ref="L1:L2"/>
    <mergeCell ref="M1:M2"/>
    <mergeCell ref="N1:N2"/>
    <mergeCell ref="O1:O2"/>
    <mergeCell ref="P1:P2"/>
    <mergeCell ref="Q1:Q2"/>
  </mergeCells>
  <hyperlinks>
    <hyperlink ref="A52" r:id="rId1"/>
  </hyperlinks>
  <pageMargins left="0.7" right="0.7" top="0.75" bottom="0.75" header="0.3" footer="0.3"/>
  <pageSetup paperSize="9" orientation="portrait" r:id="rId2"/>
  <ignoredErrors>
    <ignoredError sqref="B17"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3"/>
  </sheetPr>
  <dimension ref="B1:G28"/>
  <sheetViews>
    <sheetView showGridLines="0" workbookViewId="0">
      <selection activeCell="B17" sqref="B17:G17"/>
    </sheetView>
  </sheetViews>
  <sheetFormatPr defaultColWidth="9.109375" defaultRowHeight="13.2"/>
  <cols>
    <col min="1" max="1" width="2.6640625" style="86" customWidth="1"/>
    <col min="2" max="2" width="25.6640625" style="86" customWidth="1"/>
    <col min="3" max="4" width="12.6640625" style="86" customWidth="1"/>
    <col min="5" max="7" width="18.6640625" style="86" customWidth="1"/>
    <col min="8" max="8" width="2.6640625" style="86" customWidth="1"/>
    <col min="9" max="9" width="40.6640625" style="86" customWidth="1"/>
    <col min="10" max="10" width="12.6640625" style="86" customWidth="1"/>
    <col min="11" max="16384" width="9.109375" style="86"/>
  </cols>
  <sheetData>
    <row r="1" spans="2:3" ht="20.100000000000001" customHeight="1" thickBot="1">
      <c r="B1" s="510" t="s">
        <v>632</v>
      </c>
      <c r="C1" s="510"/>
    </row>
    <row r="2" spans="2:3" ht="15" customHeight="1" thickTop="1">
      <c r="B2" s="205" t="s">
        <v>627</v>
      </c>
      <c r="C2" s="208">
        <v>3.1</v>
      </c>
    </row>
    <row r="3" spans="2:3" ht="15" customHeight="1">
      <c r="B3" s="206" t="s">
        <v>628</v>
      </c>
      <c r="C3" s="105">
        <v>3.05</v>
      </c>
    </row>
    <row r="4" spans="2:3" ht="15" customHeight="1">
      <c r="B4" s="206" t="s">
        <v>629</v>
      </c>
      <c r="C4" s="105">
        <v>3.04</v>
      </c>
    </row>
    <row r="5" spans="2:3" ht="15" customHeight="1">
      <c r="B5" s="206" t="s">
        <v>630</v>
      </c>
      <c r="C5" s="105">
        <v>3</v>
      </c>
    </row>
    <row r="6" spans="2:3" ht="15" customHeight="1" thickBot="1">
      <c r="B6" s="207" t="s">
        <v>631</v>
      </c>
      <c r="C6" s="106">
        <v>2.93</v>
      </c>
    </row>
    <row r="7" spans="2:3" ht="15" customHeight="1" thickTop="1"/>
    <row r="8" spans="2:3" ht="20.100000000000001" customHeight="1" thickBot="1">
      <c r="B8" s="552" t="s">
        <v>633</v>
      </c>
      <c r="C8" s="552"/>
    </row>
    <row r="9" spans="2:3" ht="15" customHeight="1" thickTop="1">
      <c r="B9" s="201" t="s">
        <v>634</v>
      </c>
      <c r="C9" s="202">
        <v>2.64</v>
      </c>
    </row>
    <row r="10" spans="2:3" ht="15" customHeight="1">
      <c r="B10" s="203" t="s">
        <v>635</v>
      </c>
      <c r="C10" s="102">
        <v>2.7</v>
      </c>
    </row>
    <row r="11" spans="2:3" ht="15" customHeight="1">
      <c r="B11" s="203" t="s">
        <v>636</v>
      </c>
      <c r="C11" s="102">
        <v>2.62</v>
      </c>
    </row>
    <row r="12" spans="2:3" ht="15" customHeight="1">
      <c r="B12" s="203" t="s">
        <v>637</v>
      </c>
      <c r="C12" s="102">
        <v>2.67</v>
      </c>
    </row>
    <row r="13" spans="2:3" ht="15" customHeight="1">
      <c r="B13" s="203" t="s">
        <v>638</v>
      </c>
      <c r="C13" s="102">
        <v>2.7</v>
      </c>
    </row>
    <row r="14" spans="2:3" ht="15" customHeight="1">
      <c r="B14" s="203" t="s">
        <v>639</v>
      </c>
      <c r="C14" s="102">
        <v>2.85</v>
      </c>
    </row>
    <row r="15" spans="2:3" ht="15" customHeight="1" thickBot="1">
      <c r="B15" s="204" t="s">
        <v>640</v>
      </c>
      <c r="C15" s="104">
        <v>2.9</v>
      </c>
    </row>
    <row r="16" spans="2:3" ht="15" customHeight="1" thickTop="1"/>
    <row r="17" spans="2:7" ht="20.100000000000001" customHeight="1" thickBot="1">
      <c r="B17" s="510" t="s">
        <v>735</v>
      </c>
      <c r="C17" s="510"/>
      <c r="D17" s="510"/>
      <c r="E17" s="510"/>
      <c r="F17" s="510"/>
      <c r="G17" s="510"/>
    </row>
    <row r="18" spans="2:7" ht="39.9" customHeight="1" thickTop="1">
      <c r="B18" s="267" t="s">
        <v>745</v>
      </c>
      <c r="C18" s="551" t="s">
        <v>746</v>
      </c>
      <c r="D18" s="551"/>
      <c r="E18" s="268" t="s">
        <v>747</v>
      </c>
      <c r="F18" s="268" t="s">
        <v>748</v>
      </c>
      <c r="G18" s="269" t="s">
        <v>749</v>
      </c>
    </row>
    <row r="19" spans="2:7" ht="15" customHeight="1">
      <c r="B19" s="203" t="s">
        <v>736</v>
      </c>
      <c r="C19" s="517">
        <v>18</v>
      </c>
      <c r="D19" s="517"/>
      <c r="E19" s="36">
        <v>20</v>
      </c>
      <c r="F19" s="36">
        <v>1.4</v>
      </c>
      <c r="G19" s="85">
        <v>27000</v>
      </c>
    </row>
    <row r="20" spans="2:7" ht="15" customHeight="1">
      <c r="B20" s="203" t="s">
        <v>737</v>
      </c>
      <c r="C20" s="517">
        <v>18</v>
      </c>
      <c r="D20" s="517"/>
      <c r="E20" s="36">
        <v>22</v>
      </c>
      <c r="F20" s="36">
        <v>1.5</v>
      </c>
      <c r="G20" s="85">
        <v>27500</v>
      </c>
    </row>
    <row r="21" spans="2:7" ht="15" customHeight="1">
      <c r="B21" s="203" t="s">
        <v>738</v>
      </c>
      <c r="C21" s="517">
        <v>20</v>
      </c>
      <c r="D21" s="517"/>
      <c r="E21" s="36">
        <v>25</v>
      </c>
      <c r="F21" s="36">
        <v>1.6</v>
      </c>
      <c r="G21" s="85">
        <v>28000</v>
      </c>
    </row>
    <row r="22" spans="2:7" ht="15" customHeight="1">
      <c r="B22" s="203" t="s">
        <v>739</v>
      </c>
      <c r="C22" s="517">
        <v>25</v>
      </c>
      <c r="D22" s="517"/>
      <c r="E22" s="36">
        <v>30</v>
      </c>
      <c r="F22" s="36">
        <v>1.8</v>
      </c>
      <c r="G22" s="85">
        <v>30000</v>
      </c>
    </row>
    <row r="23" spans="2:7" ht="15" customHeight="1">
      <c r="B23" s="203" t="s">
        <v>740</v>
      </c>
      <c r="C23" s="517">
        <v>30</v>
      </c>
      <c r="D23" s="517"/>
      <c r="E23" s="36">
        <v>37</v>
      </c>
      <c r="F23" s="36">
        <v>1.9</v>
      </c>
      <c r="G23" s="85">
        <v>32000</v>
      </c>
    </row>
    <row r="24" spans="2:7" ht="15" customHeight="1">
      <c r="B24" s="203" t="s">
        <v>741</v>
      </c>
      <c r="C24" s="517">
        <v>35</v>
      </c>
      <c r="D24" s="517"/>
      <c r="E24" s="36">
        <v>45</v>
      </c>
      <c r="F24" s="36">
        <v>2.1</v>
      </c>
      <c r="G24" s="85">
        <v>33000</v>
      </c>
    </row>
    <row r="25" spans="2:7" ht="15" customHeight="1">
      <c r="B25" s="203" t="s">
        <v>742</v>
      </c>
      <c r="C25" s="517">
        <v>40</v>
      </c>
      <c r="D25" s="517"/>
      <c r="E25" s="36">
        <v>50</v>
      </c>
      <c r="F25" s="36">
        <v>2.2000000000000002</v>
      </c>
      <c r="G25" s="85">
        <v>34000</v>
      </c>
    </row>
    <row r="26" spans="2:7" ht="15" customHeight="1">
      <c r="B26" s="203" t="s">
        <v>743</v>
      </c>
      <c r="C26" s="517">
        <v>45</v>
      </c>
      <c r="D26" s="517"/>
      <c r="E26" s="36">
        <v>55</v>
      </c>
      <c r="F26" s="36">
        <v>2.2999999999999998</v>
      </c>
      <c r="G26" s="85">
        <v>36000</v>
      </c>
    </row>
    <row r="27" spans="2:7" ht="15" customHeight="1" thickBot="1">
      <c r="B27" s="204" t="s">
        <v>744</v>
      </c>
      <c r="C27" s="530">
        <v>50</v>
      </c>
      <c r="D27" s="530"/>
      <c r="E27" s="39">
        <v>60</v>
      </c>
      <c r="F27" s="39">
        <v>2.5</v>
      </c>
      <c r="G27" s="167">
        <v>37000</v>
      </c>
    </row>
    <row r="28" spans="2:7" ht="13.8" thickTop="1"/>
  </sheetData>
  <customSheetViews>
    <customSheetView guid="{C0BE45DA-73C0-4B1E-ABFB-A0FAB57D4E46}" showGridLines="0" showRuler="0">
      <selection activeCell="B2" sqref="B2:C2"/>
      <pageMargins left="0.75" right="0.75" top="1" bottom="1" header="0.5" footer="0.5"/>
      <pageSetup paperSize="9" orientation="portrait" horizontalDpi="4294967293" verticalDpi="0" r:id="rId1"/>
      <headerFooter alignWithMargins="0"/>
    </customSheetView>
  </customSheetViews>
  <mergeCells count="13">
    <mergeCell ref="B8:C8"/>
    <mergeCell ref="B1:C1"/>
    <mergeCell ref="C19:D19"/>
    <mergeCell ref="C20:D20"/>
    <mergeCell ref="B17:G17"/>
    <mergeCell ref="C25:D25"/>
    <mergeCell ref="C26:D26"/>
    <mergeCell ref="C27:D27"/>
    <mergeCell ref="C18:D18"/>
    <mergeCell ref="C21:D21"/>
    <mergeCell ref="C22:D22"/>
    <mergeCell ref="C23:D23"/>
    <mergeCell ref="C24:D24"/>
  </mergeCells>
  <phoneticPr fontId="2" type="noConversion"/>
  <pageMargins left="0.94488188976377963" right="0.35433070866141736" top="0.98425196850393704" bottom="0.39370078740157483" header="0.51181102362204722" footer="0.51181102362204722"/>
  <pageSetup paperSize="9" scale="82" orientation="portrait" horizontalDpi="4294967293" verticalDpi="0" r:id="rId2"/>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54"/>
  <sheetViews>
    <sheetView topLeftCell="A11" zoomScale="89" zoomScaleNormal="89" workbookViewId="0">
      <selection activeCell="S15" sqref="S15"/>
    </sheetView>
  </sheetViews>
  <sheetFormatPr defaultColWidth="9.33203125" defaultRowHeight="13.8"/>
  <cols>
    <col min="1" max="1" width="15.109375" style="300" customWidth="1"/>
    <col min="2" max="2" width="5" style="300" bestFit="1" customWidth="1"/>
    <col min="3" max="4" width="3.6640625" style="300" customWidth="1"/>
    <col min="5" max="5" width="4.88671875" style="300" customWidth="1"/>
    <col min="6" max="10" width="3.6640625" style="300" customWidth="1"/>
    <col min="11" max="11" width="7.44140625" style="301" customWidth="1"/>
    <col min="12" max="12" width="7.44140625" style="302" customWidth="1"/>
    <col min="13" max="13" width="7" style="300" customWidth="1"/>
    <col min="14" max="14" width="7.44140625" style="302" customWidth="1"/>
    <col min="15" max="15" width="7" style="302" customWidth="1"/>
    <col min="16" max="16" width="7" style="300" customWidth="1"/>
    <col min="17" max="17" width="7.6640625" style="303" customWidth="1"/>
    <col min="18" max="18" width="7" style="302" customWidth="1"/>
    <col min="19" max="16384" width="9.33203125" style="300"/>
  </cols>
  <sheetData>
    <row r="1" spans="1:18" ht="90" customHeight="1"/>
    <row r="2" spans="1:18">
      <c r="E2" s="436" t="s">
        <v>804</v>
      </c>
      <c r="F2" s="436"/>
      <c r="G2" s="436"/>
      <c r="H2" s="436"/>
      <c r="I2" s="436"/>
      <c r="J2" s="436"/>
      <c r="K2" s="436"/>
      <c r="L2" s="436"/>
      <c r="M2" s="436"/>
      <c r="N2" s="436"/>
      <c r="O2" s="436"/>
      <c r="P2" s="436"/>
      <c r="Q2" s="436"/>
      <c r="R2" s="436"/>
    </row>
    <row r="3" spans="1:18" ht="12.75" customHeight="1">
      <c r="E3" s="436"/>
      <c r="F3" s="436"/>
      <c r="G3" s="436"/>
      <c r="H3" s="436"/>
      <c r="I3" s="436"/>
      <c r="J3" s="436"/>
      <c r="K3" s="436"/>
      <c r="L3" s="436"/>
      <c r="M3" s="436"/>
      <c r="N3" s="436"/>
      <c r="O3" s="436"/>
      <c r="P3" s="436"/>
      <c r="Q3" s="436"/>
      <c r="R3" s="436"/>
    </row>
    <row r="4" spans="1:18" ht="12.75" customHeight="1">
      <c r="E4" s="436"/>
      <c r="F4" s="436"/>
      <c r="G4" s="436"/>
      <c r="H4" s="436"/>
      <c r="I4" s="436"/>
      <c r="J4" s="436"/>
      <c r="K4" s="436"/>
      <c r="L4" s="436"/>
      <c r="M4" s="436"/>
      <c r="N4" s="436"/>
      <c r="O4" s="436"/>
      <c r="P4" s="436"/>
      <c r="Q4" s="436"/>
      <c r="R4" s="436"/>
    </row>
    <row r="5" spans="1:18" ht="12.75" customHeight="1">
      <c r="E5" s="436"/>
      <c r="F5" s="436"/>
      <c r="G5" s="436"/>
      <c r="H5" s="436"/>
      <c r="I5" s="436"/>
      <c r="J5" s="436"/>
      <c r="K5" s="436"/>
      <c r="L5" s="436"/>
      <c r="M5" s="436"/>
      <c r="N5" s="436"/>
      <c r="O5" s="436"/>
      <c r="P5" s="436"/>
      <c r="Q5" s="436"/>
      <c r="R5" s="436"/>
    </row>
    <row r="6" spans="1:18" ht="12.75" customHeight="1">
      <c r="E6" s="436"/>
      <c r="F6" s="436"/>
      <c r="G6" s="436"/>
      <c r="H6" s="436"/>
      <c r="I6" s="436"/>
      <c r="J6" s="436"/>
      <c r="K6" s="436"/>
      <c r="L6" s="436"/>
      <c r="M6" s="436"/>
      <c r="N6" s="436"/>
      <c r="O6" s="436"/>
      <c r="P6" s="436"/>
      <c r="Q6" s="436"/>
      <c r="R6" s="436"/>
    </row>
    <row r="7" spans="1:18" ht="12.75" customHeight="1">
      <c r="E7" s="436"/>
      <c r="F7" s="436"/>
      <c r="G7" s="436"/>
      <c r="H7" s="436"/>
      <c r="I7" s="436"/>
      <c r="J7" s="436"/>
      <c r="K7" s="436"/>
      <c r="L7" s="436"/>
      <c r="M7" s="436"/>
      <c r="N7" s="436"/>
      <c r="O7" s="436"/>
      <c r="P7" s="436"/>
      <c r="Q7" s="436"/>
      <c r="R7" s="436"/>
    </row>
    <row r="8" spans="1:18" ht="12.75" customHeight="1">
      <c r="E8" s="436"/>
      <c r="F8" s="436"/>
      <c r="G8" s="436"/>
      <c r="H8" s="436"/>
      <c r="I8" s="436"/>
      <c r="J8" s="436"/>
      <c r="K8" s="436"/>
      <c r="L8" s="436"/>
      <c r="M8" s="436"/>
      <c r="N8" s="436"/>
      <c r="O8" s="436"/>
      <c r="P8" s="436"/>
      <c r="Q8" s="436"/>
      <c r="R8" s="436"/>
    </row>
    <row r="9" spans="1:18" ht="12.75" customHeight="1">
      <c r="E9" s="436"/>
      <c r="F9" s="436"/>
      <c r="G9" s="436"/>
      <c r="H9" s="436"/>
      <c r="I9" s="436"/>
      <c r="J9" s="436"/>
      <c r="K9" s="436"/>
      <c r="L9" s="436"/>
      <c r="M9" s="436"/>
      <c r="N9" s="436"/>
      <c r="O9" s="436"/>
      <c r="P9" s="436"/>
      <c r="Q9" s="436"/>
      <c r="R9" s="436"/>
    </row>
    <row r="10" spans="1:18" ht="12.75" customHeight="1">
      <c r="E10" s="436"/>
      <c r="F10" s="436"/>
      <c r="G10" s="436"/>
      <c r="H10" s="436"/>
      <c r="I10" s="436"/>
      <c r="J10" s="436"/>
      <c r="K10" s="436"/>
      <c r="L10" s="436"/>
      <c r="M10" s="436"/>
      <c r="N10" s="436"/>
      <c r="O10" s="436"/>
      <c r="P10" s="436"/>
      <c r="Q10" s="436"/>
      <c r="R10" s="436"/>
    </row>
    <row r="11" spans="1:18" ht="12.75" customHeight="1">
      <c r="E11" s="436"/>
      <c r="F11" s="436"/>
      <c r="G11" s="436"/>
      <c r="H11" s="436"/>
      <c r="I11" s="436"/>
      <c r="J11" s="436"/>
      <c r="K11" s="436"/>
      <c r="L11" s="436"/>
      <c r="M11" s="436"/>
      <c r="N11" s="436"/>
      <c r="O11" s="436"/>
      <c r="P11" s="436"/>
      <c r="Q11" s="436"/>
      <c r="R11" s="436"/>
    </row>
    <row r="12" spans="1:18" ht="12.75" customHeight="1">
      <c r="E12" s="436"/>
      <c r="F12" s="436"/>
      <c r="G12" s="436"/>
      <c r="H12" s="436"/>
      <c r="I12" s="436"/>
      <c r="J12" s="436"/>
      <c r="K12" s="436"/>
      <c r="L12" s="436"/>
      <c r="M12" s="436"/>
      <c r="N12" s="436"/>
      <c r="O12" s="436"/>
      <c r="P12" s="436"/>
      <c r="Q12" s="436"/>
      <c r="R12" s="436"/>
    </row>
    <row r="13" spans="1:18" ht="12.75" customHeight="1">
      <c r="E13" s="436"/>
      <c r="F13" s="436"/>
      <c r="G13" s="436"/>
      <c r="H13" s="436"/>
      <c r="I13" s="436"/>
      <c r="J13" s="436"/>
      <c r="K13" s="436"/>
      <c r="L13" s="436"/>
      <c r="M13" s="436"/>
      <c r="N13" s="436"/>
      <c r="O13" s="436"/>
      <c r="P13" s="436"/>
      <c r="Q13" s="436"/>
      <c r="R13" s="436"/>
    </row>
    <row r="14" spans="1:18" ht="14.4" thickBot="1">
      <c r="E14" s="437"/>
      <c r="F14" s="437"/>
      <c r="G14" s="437"/>
      <c r="H14" s="437"/>
      <c r="I14" s="437"/>
      <c r="J14" s="437"/>
      <c r="K14" s="437"/>
      <c r="L14" s="437"/>
      <c r="M14" s="437"/>
      <c r="N14" s="437"/>
      <c r="O14" s="437"/>
      <c r="P14" s="437"/>
      <c r="Q14" s="437"/>
      <c r="R14" s="437"/>
    </row>
    <row r="15" spans="1:18" ht="14.4" thickBot="1">
      <c r="A15" s="438" t="s">
        <v>805</v>
      </c>
      <c r="B15" s="441" t="s">
        <v>806</v>
      </c>
      <c r="C15" s="442"/>
      <c r="D15" s="442"/>
      <c r="E15" s="442"/>
      <c r="F15" s="442"/>
      <c r="G15" s="442"/>
      <c r="H15" s="442"/>
      <c r="I15" s="442"/>
      <c r="J15" s="443"/>
      <c r="K15" s="447" t="s">
        <v>807</v>
      </c>
      <c r="L15" s="448"/>
      <c r="M15" s="448"/>
      <c r="N15" s="448"/>
      <c r="O15" s="448"/>
      <c r="P15" s="449"/>
      <c r="Q15" s="450" t="s">
        <v>808</v>
      </c>
      <c r="R15" s="452" t="s">
        <v>809</v>
      </c>
    </row>
    <row r="16" spans="1:18">
      <c r="A16" s="439"/>
      <c r="B16" s="444"/>
      <c r="C16" s="445"/>
      <c r="D16" s="445"/>
      <c r="E16" s="445"/>
      <c r="F16" s="445"/>
      <c r="G16" s="445"/>
      <c r="H16" s="445"/>
      <c r="I16" s="445"/>
      <c r="J16" s="446"/>
      <c r="K16" s="441" t="s">
        <v>810</v>
      </c>
      <c r="L16" s="442"/>
      <c r="M16" s="443"/>
      <c r="N16" s="454" t="s">
        <v>811</v>
      </c>
      <c r="O16" s="442"/>
      <c r="P16" s="443"/>
      <c r="Q16" s="451"/>
      <c r="R16" s="453"/>
    </row>
    <row r="17" spans="1:18">
      <c r="A17" s="439"/>
      <c r="B17" s="304" t="s">
        <v>812</v>
      </c>
      <c r="C17" s="305" t="s">
        <v>813</v>
      </c>
      <c r="D17" s="305" t="s">
        <v>17</v>
      </c>
      <c r="E17" s="305" t="s">
        <v>18</v>
      </c>
      <c r="F17" s="305" t="s">
        <v>814</v>
      </c>
      <c r="G17" s="305" t="s">
        <v>815</v>
      </c>
      <c r="H17" s="305" t="s">
        <v>816</v>
      </c>
      <c r="I17" s="305" t="s">
        <v>817</v>
      </c>
      <c r="J17" s="306" t="s">
        <v>35</v>
      </c>
      <c r="K17" s="309" t="s">
        <v>818</v>
      </c>
      <c r="L17" s="310" t="s">
        <v>819</v>
      </c>
      <c r="M17" s="306" t="s">
        <v>820</v>
      </c>
      <c r="N17" s="311" t="s">
        <v>821</v>
      </c>
      <c r="O17" s="310" t="s">
        <v>822</v>
      </c>
      <c r="P17" s="306" t="s">
        <v>823</v>
      </c>
      <c r="Q17" s="307" t="s">
        <v>824</v>
      </c>
      <c r="R17" s="308" t="s">
        <v>0</v>
      </c>
    </row>
    <row r="18" spans="1:18" ht="28.2" thickBot="1">
      <c r="A18" s="440"/>
      <c r="B18" s="312" t="s">
        <v>22</v>
      </c>
      <c r="C18" s="313" t="s">
        <v>22</v>
      </c>
      <c r="D18" s="313" t="s">
        <v>22</v>
      </c>
      <c r="E18" s="313" t="s">
        <v>22</v>
      </c>
      <c r="F18" s="313" t="s">
        <v>22</v>
      </c>
      <c r="G18" s="313" t="s">
        <v>22</v>
      </c>
      <c r="H18" s="313" t="s">
        <v>22</v>
      </c>
      <c r="I18" s="313" t="s">
        <v>22</v>
      </c>
      <c r="J18" s="314" t="s">
        <v>22</v>
      </c>
      <c r="K18" s="315" t="s">
        <v>825</v>
      </c>
      <c r="L18" s="316" t="s">
        <v>826</v>
      </c>
      <c r="M18" s="314" t="s">
        <v>598</v>
      </c>
      <c r="N18" s="317" t="s">
        <v>825</v>
      </c>
      <c r="O18" s="316" t="s">
        <v>826</v>
      </c>
      <c r="P18" s="314" t="s">
        <v>598</v>
      </c>
      <c r="Q18" s="318" t="s">
        <v>3</v>
      </c>
      <c r="R18" s="319" t="s">
        <v>23</v>
      </c>
    </row>
    <row r="19" spans="1:18">
      <c r="A19" s="320" t="s">
        <v>827</v>
      </c>
      <c r="B19" s="321">
        <v>150</v>
      </c>
      <c r="C19" s="322">
        <v>40</v>
      </c>
      <c r="D19" s="322">
        <v>20</v>
      </c>
      <c r="E19" s="322">
        <v>30</v>
      </c>
      <c r="F19" s="322">
        <v>30</v>
      </c>
      <c r="G19" s="323">
        <f t="shared" ref="G19:G51" si="0">F19</f>
        <v>30</v>
      </c>
      <c r="H19" s="323">
        <f t="shared" ref="H19:H51" si="1">J19*3</f>
        <v>4.5</v>
      </c>
      <c r="I19" s="323">
        <f t="shared" ref="I19:I51" si="2">J19*2</f>
        <v>3</v>
      </c>
      <c r="J19" s="324">
        <v>1.5</v>
      </c>
      <c r="K19" s="325">
        <f t="shared" ref="K19:K51" si="3">M19*L19</f>
        <v>126.2325</v>
      </c>
      <c r="L19" s="326">
        <v>16.831</v>
      </c>
      <c r="M19" s="324">
        <v>7.5</v>
      </c>
      <c r="N19" s="327">
        <f t="shared" ref="N19:N51" si="4">O19*P19</f>
        <v>8.0849600000000006</v>
      </c>
      <c r="O19" s="326">
        <v>3.68</v>
      </c>
      <c r="P19" s="328">
        <v>2.1970000000000001</v>
      </c>
      <c r="Q19" s="329">
        <v>4.2130000000000001</v>
      </c>
      <c r="R19" s="330">
        <f t="shared" ref="R19:R51" si="5">Q19*0.785</f>
        <v>3.3072050000000002</v>
      </c>
    </row>
    <row r="20" spans="1:18">
      <c r="A20" s="331" t="s">
        <v>828</v>
      </c>
      <c r="B20" s="332">
        <v>150</v>
      </c>
      <c r="C20" s="333">
        <v>40</v>
      </c>
      <c r="D20" s="333">
        <v>20</v>
      </c>
      <c r="E20" s="333">
        <v>30</v>
      </c>
      <c r="F20" s="333">
        <v>30</v>
      </c>
      <c r="G20" s="333">
        <f t="shared" si="0"/>
        <v>30</v>
      </c>
      <c r="H20" s="333">
        <f t="shared" si="1"/>
        <v>6</v>
      </c>
      <c r="I20" s="333">
        <f t="shared" si="2"/>
        <v>4</v>
      </c>
      <c r="J20" s="334">
        <v>2</v>
      </c>
      <c r="K20" s="335">
        <f t="shared" si="3"/>
        <v>162.80250000000001</v>
      </c>
      <c r="L20" s="336">
        <v>21.707000000000001</v>
      </c>
      <c r="M20" s="334">
        <v>7.5</v>
      </c>
      <c r="N20" s="337">
        <f t="shared" si="4"/>
        <v>10.305904000000002</v>
      </c>
      <c r="O20" s="336">
        <v>4.6760000000000002</v>
      </c>
      <c r="P20" s="338">
        <v>2.2040000000000002</v>
      </c>
      <c r="Q20" s="339">
        <v>5.5250000000000004</v>
      </c>
      <c r="R20" s="340">
        <f t="shared" si="5"/>
        <v>4.3371250000000003</v>
      </c>
    </row>
    <row r="21" spans="1:18">
      <c r="A21" s="331" t="s">
        <v>829</v>
      </c>
      <c r="B21" s="332">
        <v>150</v>
      </c>
      <c r="C21" s="333">
        <v>40</v>
      </c>
      <c r="D21" s="333">
        <v>20</v>
      </c>
      <c r="E21" s="333">
        <v>30</v>
      </c>
      <c r="F21" s="333">
        <v>30</v>
      </c>
      <c r="G21" s="333">
        <f t="shared" si="0"/>
        <v>30</v>
      </c>
      <c r="H21" s="333">
        <f t="shared" si="1"/>
        <v>7.5</v>
      </c>
      <c r="I21" s="333">
        <f t="shared" si="2"/>
        <v>5</v>
      </c>
      <c r="J21" s="334">
        <v>2.5</v>
      </c>
      <c r="K21" s="335">
        <f t="shared" si="3"/>
        <v>196.68</v>
      </c>
      <c r="L21" s="336">
        <v>26.224</v>
      </c>
      <c r="M21" s="334">
        <v>7.5</v>
      </c>
      <c r="N21" s="337">
        <f t="shared" si="4"/>
        <v>12.293159999999999</v>
      </c>
      <c r="O21" s="336">
        <v>5.56</v>
      </c>
      <c r="P21" s="338">
        <v>2.2109999999999999</v>
      </c>
      <c r="Q21" s="339">
        <v>6.79</v>
      </c>
      <c r="R21" s="340">
        <f t="shared" si="5"/>
        <v>5.3301500000000006</v>
      </c>
    </row>
    <row r="22" spans="1:18" ht="14.4" thickBot="1">
      <c r="A22" s="359" t="s">
        <v>830</v>
      </c>
      <c r="B22" s="360">
        <v>150</v>
      </c>
      <c r="C22" s="361">
        <v>40</v>
      </c>
      <c r="D22" s="361">
        <v>20</v>
      </c>
      <c r="E22" s="361">
        <v>30</v>
      </c>
      <c r="F22" s="361">
        <v>30</v>
      </c>
      <c r="G22" s="361">
        <f t="shared" si="0"/>
        <v>30</v>
      </c>
      <c r="H22" s="361">
        <f t="shared" si="1"/>
        <v>9</v>
      </c>
      <c r="I22" s="361">
        <f t="shared" si="2"/>
        <v>6</v>
      </c>
      <c r="J22" s="362">
        <v>3</v>
      </c>
      <c r="K22" s="363">
        <f t="shared" si="3"/>
        <v>227.85</v>
      </c>
      <c r="L22" s="364">
        <v>30.38</v>
      </c>
      <c r="M22" s="362">
        <v>7.5</v>
      </c>
      <c r="N22" s="365">
        <f t="shared" si="4"/>
        <v>14.06212</v>
      </c>
      <c r="O22" s="364">
        <v>6.34</v>
      </c>
      <c r="P22" s="366">
        <v>2.218</v>
      </c>
      <c r="Q22" s="374">
        <v>8.0079999999999991</v>
      </c>
      <c r="R22" s="368">
        <f t="shared" si="5"/>
        <v>6.2862799999999996</v>
      </c>
    </row>
    <row r="23" spans="1:18">
      <c r="A23" s="320" t="s">
        <v>831</v>
      </c>
      <c r="B23" s="321">
        <v>150</v>
      </c>
      <c r="C23" s="322">
        <v>50</v>
      </c>
      <c r="D23" s="322">
        <v>20</v>
      </c>
      <c r="E23" s="322">
        <v>30</v>
      </c>
      <c r="F23" s="322">
        <v>30</v>
      </c>
      <c r="G23" s="322">
        <f t="shared" si="0"/>
        <v>30</v>
      </c>
      <c r="H23" s="322">
        <f t="shared" si="1"/>
        <v>4.5</v>
      </c>
      <c r="I23" s="322">
        <f t="shared" si="2"/>
        <v>3</v>
      </c>
      <c r="J23" s="324">
        <v>1.5</v>
      </c>
      <c r="K23" s="343">
        <f t="shared" si="3"/>
        <v>142.7775</v>
      </c>
      <c r="L23" s="344">
        <v>19.036999999999999</v>
      </c>
      <c r="M23" s="324">
        <v>7.5</v>
      </c>
      <c r="N23" s="345">
        <f t="shared" si="4"/>
        <v>12.553920000000002</v>
      </c>
      <c r="O23" s="344">
        <v>4.32</v>
      </c>
      <c r="P23" s="346">
        <v>2.9060000000000001</v>
      </c>
      <c r="Q23" s="347">
        <v>4.51</v>
      </c>
      <c r="R23" s="348">
        <f t="shared" si="5"/>
        <v>3.5403500000000001</v>
      </c>
    </row>
    <row r="24" spans="1:18">
      <c r="A24" s="331" t="s">
        <v>832</v>
      </c>
      <c r="B24" s="332">
        <v>150</v>
      </c>
      <c r="C24" s="333">
        <v>50</v>
      </c>
      <c r="D24" s="333">
        <v>20</v>
      </c>
      <c r="E24" s="333">
        <v>30</v>
      </c>
      <c r="F24" s="333">
        <v>30</v>
      </c>
      <c r="G24" s="333">
        <f t="shared" si="0"/>
        <v>30</v>
      </c>
      <c r="H24" s="333">
        <f t="shared" si="1"/>
        <v>6</v>
      </c>
      <c r="I24" s="333">
        <f t="shared" si="2"/>
        <v>4</v>
      </c>
      <c r="J24" s="334">
        <v>2</v>
      </c>
      <c r="K24" s="335">
        <f t="shared" si="3"/>
        <v>184.71</v>
      </c>
      <c r="L24" s="336">
        <v>24.628</v>
      </c>
      <c r="M24" s="334">
        <v>7.5</v>
      </c>
      <c r="N24" s="337">
        <f t="shared" si="4"/>
        <v>16.032499999999999</v>
      </c>
      <c r="O24" s="336">
        <v>5.5</v>
      </c>
      <c r="P24" s="338">
        <v>2.915</v>
      </c>
      <c r="Q24" s="339">
        <v>5.92</v>
      </c>
      <c r="R24" s="340">
        <f t="shared" si="5"/>
        <v>4.6471999999999998</v>
      </c>
    </row>
    <row r="25" spans="1:18">
      <c r="A25" s="331" t="s">
        <v>833</v>
      </c>
      <c r="B25" s="332">
        <v>150</v>
      </c>
      <c r="C25" s="333">
        <v>50</v>
      </c>
      <c r="D25" s="333">
        <v>20</v>
      </c>
      <c r="E25" s="333">
        <v>30</v>
      </c>
      <c r="F25" s="333">
        <v>30</v>
      </c>
      <c r="G25" s="333">
        <f t="shared" si="0"/>
        <v>30</v>
      </c>
      <c r="H25" s="333">
        <f t="shared" si="1"/>
        <v>7.5</v>
      </c>
      <c r="I25" s="333">
        <f t="shared" si="2"/>
        <v>5</v>
      </c>
      <c r="J25" s="334">
        <v>2.5</v>
      </c>
      <c r="K25" s="335">
        <f t="shared" si="3"/>
        <v>223.875</v>
      </c>
      <c r="L25" s="336">
        <v>29.85</v>
      </c>
      <c r="M25" s="334">
        <v>7.5</v>
      </c>
      <c r="N25" s="337">
        <f t="shared" si="4"/>
        <v>19.181439999999998</v>
      </c>
      <c r="O25" s="336">
        <v>6.56</v>
      </c>
      <c r="P25" s="338">
        <v>2.9239999999999999</v>
      </c>
      <c r="Q25" s="339">
        <v>7.29</v>
      </c>
      <c r="R25" s="340">
        <f t="shared" si="5"/>
        <v>5.7226500000000007</v>
      </c>
    </row>
    <row r="26" spans="1:18" ht="14.4" thickBot="1">
      <c r="A26" s="376" t="s">
        <v>834</v>
      </c>
      <c r="B26" s="377">
        <v>150</v>
      </c>
      <c r="C26" s="378">
        <v>50</v>
      </c>
      <c r="D26" s="378">
        <v>20</v>
      </c>
      <c r="E26" s="378">
        <v>30</v>
      </c>
      <c r="F26" s="378">
        <v>30</v>
      </c>
      <c r="G26" s="378">
        <f t="shared" si="0"/>
        <v>30</v>
      </c>
      <c r="H26" s="378">
        <f t="shared" si="1"/>
        <v>9</v>
      </c>
      <c r="I26" s="378">
        <f t="shared" si="2"/>
        <v>6</v>
      </c>
      <c r="J26" s="379">
        <v>3</v>
      </c>
      <c r="K26" s="380">
        <f t="shared" si="3"/>
        <v>260.32499999999999</v>
      </c>
      <c r="L26" s="381">
        <v>34.71</v>
      </c>
      <c r="M26" s="379">
        <v>7.5</v>
      </c>
      <c r="N26" s="382">
        <f t="shared" si="4"/>
        <v>22.005000000000003</v>
      </c>
      <c r="O26" s="381">
        <v>7.5</v>
      </c>
      <c r="P26" s="383">
        <v>2.9340000000000002</v>
      </c>
      <c r="Q26" s="367">
        <v>8.6</v>
      </c>
      <c r="R26" s="384">
        <f t="shared" si="5"/>
        <v>6.7510000000000003</v>
      </c>
    </row>
    <row r="27" spans="1:18">
      <c r="A27" s="341" t="s">
        <v>835</v>
      </c>
      <c r="B27" s="355">
        <v>150</v>
      </c>
      <c r="C27" s="342">
        <v>60</v>
      </c>
      <c r="D27" s="342">
        <v>20</v>
      </c>
      <c r="E27" s="342">
        <v>30</v>
      </c>
      <c r="F27" s="342">
        <v>30</v>
      </c>
      <c r="G27" s="342">
        <f t="shared" si="0"/>
        <v>30</v>
      </c>
      <c r="H27" s="342">
        <f t="shared" si="1"/>
        <v>4.5</v>
      </c>
      <c r="I27" s="342">
        <f t="shared" si="2"/>
        <v>3</v>
      </c>
      <c r="J27" s="375">
        <v>1.5</v>
      </c>
      <c r="K27" s="349">
        <f t="shared" si="3"/>
        <v>159.315</v>
      </c>
      <c r="L27" s="350">
        <v>21.242000000000001</v>
      </c>
      <c r="M27" s="375">
        <v>7.5</v>
      </c>
      <c r="N27" s="351">
        <f t="shared" si="4"/>
        <v>18.914029999999997</v>
      </c>
      <c r="O27" s="350">
        <v>5.27</v>
      </c>
      <c r="P27" s="352">
        <v>3.589</v>
      </c>
      <c r="Q27" s="353">
        <v>4.8099999999999996</v>
      </c>
      <c r="R27" s="354">
        <f t="shared" si="5"/>
        <v>3.7758499999999997</v>
      </c>
    </row>
    <row r="28" spans="1:18">
      <c r="A28" s="331" t="s">
        <v>836</v>
      </c>
      <c r="B28" s="332">
        <v>150</v>
      </c>
      <c r="C28" s="333">
        <v>60</v>
      </c>
      <c r="D28" s="333">
        <v>20</v>
      </c>
      <c r="E28" s="333">
        <v>30</v>
      </c>
      <c r="F28" s="333">
        <v>30</v>
      </c>
      <c r="G28" s="333">
        <f t="shared" si="0"/>
        <v>30</v>
      </c>
      <c r="H28" s="333">
        <f t="shared" si="1"/>
        <v>6</v>
      </c>
      <c r="I28" s="333">
        <f t="shared" si="2"/>
        <v>4</v>
      </c>
      <c r="J28" s="334">
        <v>2</v>
      </c>
      <c r="K28" s="335">
        <f t="shared" si="3"/>
        <v>206.60999999999999</v>
      </c>
      <c r="L28" s="336">
        <v>27.547999999999998</v>
      </c>
      <c r="M28" s="334">
        <v>7.5</v>
      </c>
      <c r="N28" s="337">
        <f t="shared" si="4"/>
        <v>12.9564</v>
      </c>
      <c r="O28" s="336">
        <v>3.6</v>
      </c>
      <c r="P28" s="338">
        <v>3.5990000000000002</v>
      </c>
      <c r="Q28" s="339">
        <v>6.32</v>
      </c>
      <c r="R28" s="340">
        <f t="shared" si="5"/>
        <v>4.9612000000000007</v>
      </c>
    </row>
    <row r="29" spans="1:18">
      <c r="A29" s="331" t="s">
        <v>837</v>
      </c>
      <c r="B29" s="332">
        <v>150</v>
      </c>
      <c r="C29" s="333">
        <v>60</v>
      </c>
      <c r="D29" s="333">
        <v>20</v>
      </c>
      <c r="E29" s="333">
        <v>30</v>
      </c>
      <c r="F29" s="333">
        <v>30</v>
      </c>
      <c r="G29" s="333">
        <f t="shared" si="0"/>
        <v>30</v>
      </c>
      <c r="H29" s="333">
        <f t="shared" si="1"/>
        <v>7.5</v>
      </c>
      <c r="I29" s="333">
        <f t="shared" si="2"/>
        <v>5</v>
      </c>
      <c r="J29" s="334">
        <v>2.5</v>
      </c>
      <c r="K29" s="335">
        <f t="shared" si="3"/>
        <v>251.07749999999999</v>
      </c>
      <c r="L29" s="336">
        <v>33.476999999999997</v>
      </c>
      <c r="M29" s="334">
        <v>7.5</v>
      </c>
      <c r="N29" s="337">
        <f t="shared" si="4"/>
        <v>29.125479999999996</v>
      </c>
      <c r="O29" s="336">
        <v>8.0679999999999996</v>
      </c>
      <c r="P29" s="338">
        <v>3.61</v>
      </c>
      <c r="Q29" s="339">
        <v>7.79</v>
      </c>
      <c r="R29" s="340">
        <f t="shared" si="5"/>
        <v>6.1151499999999999</v>
      </c>
    </row>
    <row r="30" spans="1:18" ht="14.4" thickBot="1">
      <c r="A30" s="359" t="s">
        <v>838</v>
      </c>
      <c r="B30" s="360">
        <v>150</v>
      </c>
      <c r="C30" s="361">
        <v>60</v>
      </c>
      <c r="D30" s="361">
        <v>20</v>
      </c>
      <c r="E30" s="361">
        <v>30</v>
      </c>
      <c r="F30" s="361">
        <v>30</v>
      </c>
      <c r="G30" s="361">
        <f t="shared" si="0"/>
        <v>30</v>
      </c>
      <c r="H30" s="361">
        <f t="shared" si="1"/>
        <v>9</v>
      </c>
      <c r="I30" s="361">
        <f t="shared" si="2"/>
        <v>6</v>
      </c>
      <c r="J30" s="362">
        <v>3</v>
      </c>
      <c r="K30" s="363">
        <f t="shared" si="3"/>
        <v>292.73999999999995</v>
      </c>
      <c r="L30" s="364">
        <v>39.031999999999996</v>
      </c>
      <c r="M30" s="362">
        <v>7.5</v>
      </c>
      <c r="N30" s="365">
        <f t="shared" si="4"/>
        <v>33.530459999999998</v>
      </c>
      <c r="O30" s="364">
        <v>9.26</v>
      </c>
      <c r="P30" s="366">
        <v>3.621</v>
      </c>
      <c r="Q30" s="374">
        <v>9.1999999999999993</v>
      </c>
      <c r="R30" s="368">
        <f t="shared" si="5"/>
        <v>7.2219999999999995</v>
      </c>
    </row>
    <row r="31" spans="1:18">
      <c r="A31" s="320" t="s">
        <v>839</v>
      </c>
      <c r="B31" s="321">
        <v>180</v>
      </c>
      <c r="C31" s="322">
        <v>60</v>
      </c>
      <c r="D31" s="322">
        <v>20</v>
      </c>
      <c r="E31" s="322">
        <v>60</v>
      </c>
      <c r="F31" s="322">
        <v>30</v>
      </c>
      <c r="G31" s="322">
        <f t="shared" si="0"/>
        <v>30</v>
      </c>
      <c r="H31" s="322">
        <f t="shared" si="1"/>
        <v>4.5</v>
      </c>
      <c r="I31" s="322">
        <f t="shared" si="2"/>
        <v>3</v>
      </c>
      <c r="J31" s="324">
        <v>1.5</v>
      </c>
      <c r="K31" s="343">
        <f t="shared" si="3"/>
        <v>246.267</v>
      </c>
      <c r="L31" s="344">
        <v>27.363</v>
      </c>
      <c r="M31" s="356">
        <v>9</v>
      </c>
      <c r="N31" s="345">
        <f t="shared" si="4"/>
        <v>19.095865</v>
      </c>
      <c r="O31" s="344">
        <v>5.4050000000000002</v>
      </c>
      <c r="P31" s="346">
        <v>3.5329999999999999</v>
      </c>
      <c r="Q31" s="347">
        <v>5.26</v>
      </c>
      <c r="R31" s="348">
        <f t="shared" si="5"/>
        <v>4.1291000000000002</v>
      </c>
    </row>
    <row r="32" spans="1:18">
      <c r="A32" s="331" t="s">
        <v>840</v>
      </c>
      <c r="B32" s="355">
        <v>180</v>
      </c>
      <c r="C32" s="333">
        <v>60</v>
      </c>
      <c r="D32" s="333">
        <v>20</v>
      </c>
      <c r="E32" s="333">
        <v>60</v>
      </c>
      <c r="F32" s="333">
        <v>30</v>
      </c>
      <c r="G32" s="333">
        <f t="shared" si="0"/>
        <v>30</v>
      </c>
      <c r="H32" s="333">
        <f t="shared" si="1"/>
        <v>6</v>
      </c>
      <c r="I32" s="333">
        <f t="shared" si="2"/>
        <v>4</v>
      </c>
      <c r="J32" s="334">
        <v>2</v>
      </c>
      <c r="K32" s="335">
        <f t="shared" si="3"/>
        <v>320.10300000000001</v>
      </c>
      <c r="L32" s="336">
        <v>35.567</v>
      </c>
      <c r="M32" s="334">
        <v>9</v>
      </c>
      <c r="N32" s="337">
        <f t="shared" si="4"/>
        <v>24.514499999999998</v>
      </c>
      <c r="O32" s="336">
        <v>6.9249999999999998</v>
      </c>
      <c r="P32" s="338">
        <v>3.54</v>
      </c>
      <c r="Q32" s="339">
        <v>6.92</v>
      </c>
      <c r="R32" s="340">
        <f t="shared" si="5"/>
        <v>5.4321999999999999</v>
      </c>
    </row>
    <row r="33" spans="1:18">
      <c r="A33" s="331" t="s">
        <v>841</v>
      </c>
      <c r="B33" s="355">
        <v>180</v>
      </c>
      <c r="C33" s="333">
        <v>60</v>
      </c>
      <c r="D33" s="333">
        <v>20</v>
      </c>
      <c r="E33" s="333">
        <v>60</v>
      </c>
      <c r="F33" s="333">
        <v>30</v>
      </c>
      <c r="G33" s="333">
        <f t="shared" si="0"/>
        <v>30</v>
      </c>
      <c r="H33" s="333">
        <f t="shared" si="1"/>
        <v>7.5</v>
      </c>
      <c r="I33" s="333">
        <f t="shared" si="2"/>
        <v>5</v>
      </c>
      <c r="J33" s="334">
        <v>2.5</v>
      </c>
      <c r="K33" s="335">
        <f t="shared" si="3"/>
        <v>389.88</v>
      </c>
      <c r="L33" s="336">
        <v>43.32</v>
      </c>
      <c r="M33" s="334">
        <v>9</v>
      </c>
      <c r="N33" s="337">
        <f t="shared" si="4"/>
        <v>29.482664</v>
      </c>
      <c r="O33" s="336">
        <v>8.3119999999999994</v>
      </c>
      <c r="P33" s="338">
        <v>3.5470000000000002</v>
      </c>
      <c r="Q33" s="339">
        <v>8.5399999999999991</v>
      </c>
      <c r="R33" s="340">
        <f t="shared" si="5"/>
        <v>6.7039</v>
      </c>
    </row>
    <row r="34" spans="1:18" ht="14.4" thickBot="1">
      <c r="A34" s="376" t="s">
        <v>842</v>
      </c>
      <c r="B34" s="386">
        <v>180</v>
      </c>
      <c r="C34" s="378">
        <v>60</v>
      </c>
      <c r="D34" s="378">
        <v>20</v>
      </c>
      <c r="E34" s="378">
        <v>60</v>
      </c>
      <c r="F34" s="378">
        <v>30</v>
      </c>
      <c r="G34" s="378">
        <f t="shared" si="0"/>
        <v>30</v>
      </c>
      <c r="H34" s="378">
        <f t="shared" si="1"/>
        <v>9</v>
      </c>
      <c r="I34" s="378">
        <f t="shared" si="2"/>
        <v>6</v>
      </c>
      <c r="J34" s="379">
        <v>3</v>
      </c>
      <c r="K34" s="380">
        <f t="shared" si="3"/>
        <v>455.67</v>
      </c>
      <c r="L34" s="381">
        <v>50.63</v>
      </c>
      <c r="M34" s="379">
        <v>9</v>
      </c>
      <c r="N34" s="382">
        <f t="shared" si="4"/>
        <v>34.010685000000002</v>
      </c>
      <c r="O34" s="381">
        <v>9.5670000000000002</v>
      </c>
      <c r="P34" s="383">
        <v>3.5550000000000002</v>
      </c>
      <c r="Q34" s="367">
        <v>10.1</v>
      </c>
      <c r="R34" s="384">
        <f t="shared" si="5"/>
        <v>7.9284999999999997</v>
      </c>
    </row>
    <row r="35" spans="1:18">
      <c r="A35" s="341" t="s">
        <v>843</v>
      </c>
      <c r="B35" s="355">
        <v>180</v>
      </c>
      <c r="C35" s="385">
        <v>70</v>
      </c>
      <c r="D35" s="342">
        <v>20</v>
      </c>
      <c r="E35" s="342">
        <v>60</v>
      </c>
      <c r="F35" s="342">
        <v>30</v>
      </c>
      <c r="G35" s="342">
        <f t="shared" si="0"/>
        <v>30</v>
      </c>
      <c r="H35" s="342">
        <f t="shared" si="1"/>
        <v>4.5</v>
      </c>
      <c r="I35" s="342">
        <f t="shared" si="2"/>
        <v>3</v>
      </c>
      <c r="J35" s="375">
        <v>1.5</v>
      </c>
      <c r="K35" s="349">
        <f t="shared" si="3"/>
        <v>270.18</v>
      </c>
      <c r="L35" s="350">
        <v>30.02</v>
      </c>
      <c r="M35" s="358">
        <v>9</v>
      </c>
      <c r="N35" s="351">
        <f t="shared" si="4"/>
        <v>27.648990000000001</v>
      </c>
      <c r="O35" s="350">
        <v>6.4980000000000002</v>
      </c>
      <c r="P35" s="352">
        <v>4.2549999999999999</v>
      </c>
      <c r="Q35" s="353">
        <v>5.5629999999999997</v>
      </c>
      <c r="R35" s="354">
        <f t="shared" si="5"/>
        <v>4.3669549999999999</v>
      </c>
    </row>
    <row r="36" spans="1:18">
      <c r="A36" s="331" t="s">
        <v>844</v>
      </c>
      <c r="B36" s="355">
        <v>180</v>
      </c>
      <c r="C36" s="357">
        <v>70</v>
      </c>
      <c r="D36" s="333">
        <v>20</v>
      </c>
      <c r="E36" s="333">
        <v>60</v>
      </c>
      <c r="F36" s="333">
        <v>30</v>
      </c>
      <c r="G36" s="333">
        <f t="shared" si="0"/>
        <v>30</v>
      </c>
      <c r="H36" s="333">
        <f t="shared" si="1"/>
        <v>6</v>
      </c>
      <c r="I36" s="333">
        <f t="shared" si="2"/>
        <v>4</v>
      </c>
      <c r="J36" s="334">
        <v>2</v>
      </c>
      <c r="K36" s="335">
        <f t="shared" si="3"/>
        <v>351.79200000000003</v>
      </c>
      <c r="L36" s="336">
        <v>39.088000000000001</v>
      </c>
      <c r="M36" s="334">
        <v>9</v>
      </c>
      <c r="N36" s="337">
        <f t="shared" si="4"/>
        <v>35.332850999999998</v>
      </c>
      <c r="O36" s="336">
        <v>8.3469999999999995</v>
      </c>
      <c r="P36" s="338">
        <v>4.2329999999999997</v>
      </c>
      <c r="Q36" s="339">
        <v>7.3250000000000002</v>
      </c>
      <c r="R36" s="340">
        <f t="shared" si="5"/>
        <v>5.7501250000000006</v>
      </c>
    </row>
    <row r="37" spans="1:18">
      <c r="A37" s="331" t="s">
        <v>845</v>
      </c>
      <c r="B37" s="355">
        <v>180</v>
      </c>
      <c r="C37" s="357">
        <v>70</v>
      </c>
      <c r="D37" s="333">
        <v>20</v>
      </c>
      <c r="E37" s="333">
        <v>60</v>
      </c>
      <c r="F37" s="333">
        <v>30</v>
      </c>
      <c r="G37" s="333">
        <f t="shared" si="0"/>
        <v>30</v>
      </c>
      <c r="H37" s="333">
        <f t="shared" si="1"/>
        <v>7.5</v>
      </c>
      <c r="I37" s="333">
        <f t="shared" si="2"/>
        <v>5</v>
      </c>
      <c r="J37" s="334">
        <v>2.5</v>
      </c>
      <c r="K37" s="335">
        <f t="shared" si="3"/>
        <v>429.28199999999998</v>
      </c>
      <c r="L37" s="336">
        <v>47.698</v>
      </c>
      <c r="M37" s="334">
        <v>9</v>
      </c>
      <c r="N37" s="337">
        <f t="shared" si="4"/>
        <v>42.598163999999997</v>
      </c>
      <c r="O37" s="336">
        <v>10.042</v>
      </c>
      <c r="P37" s="338">
        <v>4.242</v>
      </c>
      <c r="Q37" s="339">
        <v>9.0399999999999991</v>
      </c>
      <c r="R37" s="340">
        <f t="shared" si="5"/>
        <v>7.0964</v>
      </c>
    </row>
    <row r="38" spans="1:18" ht="14.4" thickBot="1">
      <c r="A38" s="359" t="s">
        <v>846</v>
      </c>
      <c r="B38" s="387">
        <v>180</v>
      </c>
      <c r="C38" s="388">
        <v>70</v>
      </c>
      <c r="D38" s="361">
        <v>20</v>
      </c>
      <c r="E38" s="361">
        <v>60</v>
      </c>
      <c r="F38" s="361">
        <v>30</v>
      </c>
      <c r="G38" s="361">
        <f t="shared" si="0"/>
        <v>30</v>
      </c>
      <c r="H38" s="361">
        <f t="shared" si="1"/>
        <v>9</v>
      </c>
      <c r="I38" s="361">
        <f t="shared" si="2"/>
        <v>6</v>
      </c>
      <c r="J38" s="362">
        <v>3</v>
      </c>
      <c r="K38" s="363">
        <f t="shared" si="3"/>
        <v>502.68599999999998</v>
      </c>
      <c r="L38" s="364">
        <v>55.853999999999999</v>
      </c>
      <c r="M38" s="362">
        <v>9</v>
      </c>
      <c r="N38" s="365">
        <f t="shared" si="4"/>
        <v>49.256337000000002</v>
      </c>
      <c r="O38" s="364">
        <v>11.587</v>
      </c>
      <c r="P38" s="366">
        <v>4.2510000000000003</v>
      </c>
      <c r="Q38" s="374">
        <v>10.7</v>
      </c>
      <c r="R38" s="368">
        <f t="shared" si="5"/>
        <v>8.3994999999999997</v>
      </c>
    </row>
    <row r="39" spans="1:18">
      <c r="A39" s="320" t="s">
        <v>847</v>
      </c>
      <c r="B39" s="321">
        <v>180</v>
      </c>
      <c r="C39" s="322">
        <v>80</v>
      </c>
      <c r="D39" s="322">
        <v>20</v>
      </c>
      <c r="E39" s="322">
        <v>60</v>
      </c>
      <c r="F39" s="322">
        <v>30</v>
      </c>
      <c r="G39" s="322">
        <f t="shared" si="0"/>
        <v>30</v>
      </c>
      <c r="H39" s="322">
        <f t="shared" si="1"/>
        <v>4.5</v>
      </c>
      <c r="I39" s="322">
        <f t="shared" si="2"/>
        <v>3</v>
      </c>
      <c r="J39" s="324">
        <v>1.5</v>
      </c>
      <c r="K39" s="343">
        <f t="shared" si="3"/>
        <v>294.06599999999997</v>
      </c>
      <c r="L39" s="344">
        <v>32.673999999999999</v>
      </c>
      <c r="M39" s="356">
        <v>9</v>
      </c>
      <c r="N39" s="345">
        <f t="shared" si="4"/>
        <v>38.225982000000002</v>
      </c>
      <c r="O39" s="344">
        <v>7.806</v>
      </c>
      <c r="P39" s="346">
        <v>4.8970000000000002</v>
      </c>
      <c r="Q39" s="347">
        <v>5.86</v>
      </c>
      <c r="R39" s="348">
        <f t="shared" si="5"/>
        <v>4.6001000000000003</v>
      </c>
    </row>
    <row r="40" spans="1:18">
      <c r="A40" s="331" t="s">
        <v>848</v>
      </c>
      <c r="B40" s="355">
        <v>180</v>
      </c>
      <c r="C40" s="333">
        <v>80</v>
      </c>
      <c r="D40" s="333">
        <v>20</v>
      </c>
      <c r="E40" s="333">
        <v>60</v>
      </c>
      <c r="F40" s="333">
        <v>30</v>
      </c>
      <c r="G40" s="333">
        <f t="shared" si="0"/>
        <v>30</v>
      </c>
      <c r="H40" s="333">
        <f t="shared" si="1"/>
        <v>6</v>
      </c>
      <c r="I40" s="333">
        <f t="shared" si="2"/>
        <v>4</v>
      </c>
      <c r="J40" s="334">
        <v>2</v>
      </c>
      <c r="K40" s="335">
        <f t="shared" si="3"/>
        <v>383.47199999999998</v>
      </c>
      <c r="L40" s="336">
        <v>42.607999999999997</v>
      </c>
      <c r="M40" s="334">
        <v>9</v>
      </c>
      <c r="N40" s="337">
        <f t="shared" si="4"/>
        <v>49.325164000000001</v>
      </c>
      <c r="O40" s="336">
        <v>10.052</v>
      </c>
      <c r="P40" s="338">
        <v>4.907</v>
      </c>
      <c r="Q40" s="339">
        <v>7.72</v>
      </c>
      <c r="R40" s="340">
        <f t="shared" si="5"/>
        <v>6.0602</v>
      </c>
    </row>
    <row r="41" spans="1:18">
      <c r="A41" s="331" t="s">
        <v>849</v>
      </c>
      <c r="B41" s="355">
        <v>180</v>
      </c>
      <c r="C41" s="333">
        <v>80</v>
      </c>
      <c r="D41" s="333">
        <v>20</v>
      </c>
      <c r="E41" s="333">
        <v>60</v>
      </c>
      <c r="F41" s="333">
        <v>30</v>
      </c>
      <c r="G41" s="333">
        <f t="shared" si="0"/>
        <v>30</v>
      </c>
      <c r="H41" s="333">
        <f t="shared" si="1"/>
        <v>7.5</v>
      </c>
      <c r="I41" s="333">
        <f t="shared" si="2"/>
        <v>5</v>
      </c>
      <c r="J41" s="334">
        <v>2.5</v>
      </c>
      <c r="K41" s="335">
        <f t="shared" si="3"/>
        <v>468.666</v>
      </c>
      <c r="L41" s="336">
        <v>52.073999999999998</v>
      </c>
      <c r="M41" s="334">
        <v>9</v>
      </c>
      <c r="N41" s="337">
        <f t="shared" si="4"/>
        <v>59.633375999999998</v>
      </c>
      <c r="O41" s="336">
        <v>12.128</v>
      </c>
      <c r="P41" s="338">
        <v>4.9169999999999998</v>
      </c>
      <c r="Q41" s="339">
        <v>9.5399999999999991</v>
      </c>
      <c r="R41" s="340">
        <f t="shared" si="5"/>
        <v>7.4888999999999992</v>
      </c>
    </row>
    <row r="42" spans="1:18" ht="14.4" thickBot="1">
      <c r="A42" s="376" t="s">
        <v>850</v>
      </c>
      <c r="B42" s="386">
        <v>180</v>
      </c>
      <c r="C42" s="378">
        <v>80</v>
      </c>
      <c r="D42" s="378">
        <v>20</v>
      </c>
      <c r="E42" s="378">
        <v>60</v>
      </c>
      <c r="F42" s="378">
        <v>30</v>
      </c>
      <c r="G42" s="378">
        <f t="shared" si="0"/>
        <v>30</v>
      </c>
      <c r="H42" s="378">
        <f t="shared" si="1"/>
        <v>9</v>
      </c>
      <c r="I42" s="378">
        <f t="shared" si="2"/>
        <v>6</v>
      </c>
      <c r="J42" s="379">
        <v>3</v>
      </c>
      <c r="K42" s="380">
        <f t="shared" si="3"/>
        <v>549.68399999999997</v>
      </c>
      <c r="L42" s="381">
        <v>61.076000000000001</v>
      </c>
      <c r="M42" s="379">
        <v>9</v>
      </c>
      <c r="N42" s="382">
        <f t="shared" si="4"/>
        <v>69.130736999999996</v>
      </c>
      <c r="O42" s="381">
        <v>14.031000000000001</v>
      </c>
      <c r="P42" s="383">
        <v>4.9269999999999996</v>
      </c>
      <c r="Q42" s="367">
        <v>11.3</v>
      </c>
      <c r="R42" s="384">
        <f t="shared" si="5"/>
        <v>8.8705000000000016</v>
      </c>
    </row>
    <row r="43" spans="1:18">
      <c r="A43" s="341" t="s">
        <v>851</v>
      </c>
      <c r="B43" s="355">
        <v>200</v>
      </c>
      <c r="C43" s="342">
        <v>70</v>
      </c>
      <c r="D43" s="342">
        <v>20</v>
      </c>
      <c r="E43" s="342">
        <v>80</v>
      </c>
      <c r="F43" s="342">
        <v>30</v>
      </c>
      <c r="G43" s="342">
        <f t="shared" si="0"/>
        <v>30</v>
      </c>
      <c r="H43" s="342">
        <f t="shared" si="1"/>
        <v>6</v>
      </c>
      <c r="I43" s="342">
        <f t="shared" si="2"/>
        <v>4</v>
      </c>
      <c r="J43" s="358">
        <v>2</v>
      </c>
      <c r="K43" s="349">
        <f t="shared" si="3"/>
        <v>452.12</v>
      </c>
      <c r="L43" s="350">
        <v>45.212000000000003</v>
      </c>
      <c r="M43" s="358">
        <v>10</v>
      </c>
      <c r="N43" s="351">
        <f t="shared" si="4"/>
        <v>35.376412999999992</v>
      </c>
      <c r="O43" s="350">
        <v>8.3889999999999993</v>
      </c>
      <c r="P43" s="352">
        <v>4.2169999999999996</v>
      </c>
      <c r="Q43" s="353">
        <v>7.72</v>
      </c>
      <c r="R43" s="354">
        <f t="shared" si="5"/>
        <v>6.0602</v>
      </c>
    </row>
    <row r="44" spans="1:18">
      <c r="A44" s="331" t="s">
        <v>852</v>
      </c>
      <c r="B44" s="332">
        <v>200</v>
      </c>
      <c r="C44" s="333">
        <v>70</v>
      </c>
      <c r="D44" s="333">
        <v>20</v>
      </c>
      <c r="E44" s="333">
        <v>80</v>
      </c>
      <c r="F44" s="333">
        <v>30</v>
      </c>
      <c r="G44" s="333">
        <f t="shared" si="0"/>
        <v>30</v>
      </c>
      <c r="H44" s="333">
        <f t="shared" si="1"/>
        <v>7.5</v>
      </c>
      <c r="I44" s="333">
        <f t="shared" si="2"/>
        <v>5</v>
      </c>
      <c r="J44" s="334">
        <v>2.5</v>
      </c>
      <c r="K44" s="335">
        <f t="shared" si="3"/>
        <v>552.35</v>
      </c>
      <c r="L44" s="336">
        <v>55.234999999999999</v>
      </c>
      <c r="M44" s="334">
        <v>10</v>
      </c>
      <c r="N44" s="337">
        <f t="shared" si="4"/>
        <v>42.662399999999998</v>
      </c>
      <c r="O44" s="336">
        <v>10.1</v>
      </c>
      <c r="P44" s="338">
        <v>4.2240000000000002</v>
      </c>
      <c r="Q44" s="339">
        <v>9.5399999999999991</v>
      </c>
      <c r="R44" s="340">
        <f t="shared" si="5"/>
        <v>7.4888999999999992</v>
      </c>
    </row>
    <row r="45" spans="1:18" ht="14.4" thickBot="1">
      <c r="A45" s="359" t="s">
        <v>853</v>
      </c>
      <c r="B45" s="360">
        <v>200</v>
      </c>
      <c r="C45" s="361">
        <v>70</v>
      </c>
      <c r="D45" s="361">
        <v>20</v>
      </c>
      <c r="E45" s="361">
        <v>80</v>
      </c>
      <c r="F45" s="361">
        <v>30</v>
      </c>
      <c r="G45" s="361">
        <f t="shared" si="0"/>
        <v>30</v>
      </c>
      <c r="H45" s="361">
        <f t="shared" si="1"/>
        <v>9</v>
      </c>
      <c r="I45" s="361">
        <f t="shared" si="2"/>
        <v>6</v>
      </c>
      <c r="J45" s="362">
        <v>3</v>
      </c>
      <c r="K45" s="363">
        <f t="shared" si="3"/>
        <v>647.55999999999995</v>
      </c>
      <c r="L45" s="364">
        <v>64.756</v>
      </c>
      <c r="M45" s="362">
        <v>10</v>
      </c>
      <c r="N45" s="365">
        <f t="shared" si="4"/>
        <v>49.346153000000001</v>
      </c>
      <c r="O45" s="364">
        <v>11.663</v>
      </c>
      <c r="P45" s="366">
        <v>4.2309999999999999</v>
      </c>
      <c r="Q45" s="374">
        <v>11.3</v>
      </c>
      <c r="R45" s="368">
        <f t="shared" si="5"/>
        <v>8.8705000000000016</v>
      </c>
    </row>
    <row r="46" spans="1:18">
      <c r="A46" s="320" t="s">
        <v>854</v>
      </c>
      <c r="B46" s="321">
        <v>200</v>
      </c>
      <c r="C46" s="322">
        <v>80</v>
      </c>
      <c r="D46" s="322">
        <v>20</v>
      </c>
      <c r="E46" s="322">
        <v>80</v>
      </c>
      <c r="F46" s="322">
        <v>30</v>
      </c>
      <c r="G46" s="322">
        <f t="shared" si="0"/>
        <v>30</v>
      </c>
      <c r="H46" s="322">
        <f t="shared" si="1"/>
        <v>6</v>
      </c>
      <c r="I46" s="322">
        <f t="shared" si="2"/>
        <v>4</v>
      </c>
      <c r="J46" s="356">
        <v>2</v>
      </c>
      <c r="K46" s="343">
        <f t="shared" si="3"/>
        <v>491.32</v>
      </c>
      <c r="L46" s="344">
        <v>49.131999999999998</v>
      </c>
      <c r="M46" s="356">
        <v>10</v>
      </c>
      <c r="N46" s="345">
        <f t="shared" si="4"/>
        <v>49.325164000000001</v>
      </c>
      <c r="O46" s="344">
        <v>10.052</v>
      </c>
      <c r="P46" s="346">
        <v>4.907</v>
      </c>
      <c r="Q46" s="347">
        <v>8.1199999999999992</v>
      </c>
      <c r="R46" s="348">
        <f t="shared" si="5"/>
        <v>6.3741999999999992</v>
      </c>
    </row>
    <row r="47" spans="1:18">
      <c r="A47" s="331" t="s">
        <v>855</v>
      </c>
      <c r="B47" s="332">
        <v>200</v>
      </c>
      <c r="C47" s="333">
        <v>80</v>
      </c>
      <c r="D47" s="333">
        <v>20</v>
      </c>
      <c r="E47" s="333">
        <v>80</v>
      </c>
      <c r="F47" s="333">
        <v>30</v>
      </c>
      <c r="G47" s="333">
        <f t="shared" si="0"/>
        <v>30</v>
      </c>
      <c r="H47" s="333">
        <f t="shared" si="1"/>
        <v>7.5</v>
      </c>
      <c r="I47" s="333">
        <f t="shared" si="2"/>
        <v>5</v>
      </c>
      <c r="J47" s="334">
        <v>2.5</v>
      </c>
      <c r="K47" s="335">
        <f t="shared" si="3"/>
        <v>601.11</v>
      </c>
      <c r="L47" s="336">
        <v>60.110999999999997</v>
      </c>
      <c r="M47" s="334">
        <v>10</v>
      </c>
      <c r="N47" s="337">
        <f t="shared" si="4"/>
        <v>59.626164000000003</v>
      </c>
      <c r="O47" s="336">
        <v>12.129</v>
      </c>
      <c r="P47" s="338">
        <v>4.9160000000000004</v>
      </c>
      <c r="Q47" s="339">
        <v>10.039999999999999</v>
      </c>
      <c r="R47" s="340">
        <f t="shared" si="5"/>
        <v>7.8813999999999993</v>
      </c>
    </row>
    <row r="48" spans="1:18" ht="14.4" thickBot="1">
      <c r="A48" s="376" t="s">
        <v>856</v>
      </c>
      <c r="B48" s="377">
        <v>200</v>
      </c>
      <c r="C48" s="378">
        <v>80</v>
      </c>
      <c r="D48" s="378">
        <v>20</v>
      </c>
      <c r="E48" s="378">
        <v>80</v>
      </c>
      <c r="F48" s="378">
        <v>30</v>
      </c>
      <c r="G48" s="378">
        <f t="shared" si="0"/>
        <v>30</v>
      </c>
      <c r="H48" s="378">
        <f t="shared" si="1"/>
        <v>9</v>
      </c>
      <c r="I48" s="378">
        <f t="shared" si="2"/>
        <v>6</v>
      </c>
      <c r="J48" s="379">
        <v>3</v>
      </c>
      <c r="K48" s="380">
        <f t="shared" si="3"/>
        <v>691.32999999999993</v>
      </c>
      <c r="L48" s="381">
        <v>69.132999999999996</v>
      </c>
      <c r="M48" s="379">
        <v>10</v>
      </c>
      <c r="N48" s="382">
        <f t="shared" si="4"/>
        <v>69.132959999999997</v>
      </c>
      <c r="O48" s="381">
        <v>14.04</v>
      </c>
      <c r="P48" s="383">
        <v>4.9240000000000004</v>
      </c>
      <c r="Q48" s="367">
        <v>11.9</v>
      </c>
      <c r="R48" s="384">
        <f t="shared" si="5"/>
        <v>9.3414999999999999</v>
      </c>
    </row>
    <row r="49" spans="1:18">
      <c r="A49" s="341" t="s">
        <v>857</v>
      </c>
      <c r="B49" s="355">
        <v>220</v>
      </c>
      <c r="C49" s="342">
        <v>70</v>
      </c>
      <c r="D49" s="342">
        <v>20</v>
      </c>
      <c r="E49" s="342">
        <v>100</v>
      </c>
      <c r="F49" s="342">
        <v>30</v>
      </c>
      <c r="G49" s="342">
        <f t="shared" si="0"/>
        <v>30</v>
      </c>
      <c r="H49" s="342">
        <f t="shared" si="1"/>
        <v>6</v>
      </c>
      <c r="I49" s="342">
        <f t="shared" si="2"/>
        <v>4</v>
      </c>
      <c r="J49" s="358">
        <v>2</v>
      </c>
      <c r="K49" s="349">
        <f t="shared" si="3"/>
        <v>567.89700000000005</v>
      </c>
      <c r="L49" s="350">
        <v>51.627000000000002</v>
      </c>
      <c r="M49" s="358">
        <v>11</v>
      </c>
      <c r="N49" s="351">
        <f t="shared" si="4"/>
        <v>35.410253999999995</v>
      </c>
      <c r="O49" s="350">
        <v>8.4269999999999996</v>
      </c>
      <c r="P49" s="352">
        <v>4.202</v>
      </c>
      <c r="Q49" s="353">
        <v>8.1199999999999992</v>
      </c>
      <c r="R49" s="354">
        <f t="shared" si="5"/>
        <v>6.3741999999999992</v>
      </c>
    </row>
    <row r="50" spans="1:18">
      <c r="A50" s="331" t="s">
        <v>858</v>
      </c>
      <c r="B50" s="332">
        <v>220</v>
      </c>
      <c r="C50" s="333">
        <v>70</v>
      </c>
      <c r="D50" s="333">
        <v>20</v>
      </c>
      <c r="E50" s="333">
        <v>100</v>
      </c>
      <c r="F50" s="333">
        <v>30</v>
      </c>
      <c r="G50" s="333">
        <f t="shared" si="0"/>
        <v>30</v>
      </c>
      <c r="H50" s="333">
        <f t="shared" si="1"/>
        <v>7.5</v>
      </c>
      <c r="I50" s="333">
        <f t="shared" si="2"/>
        <v>5</v>
      </c>
      <c r="J50" s="334">
        <v>2.5</v>
      </c>
      <c r="K50" s="335">
        <f t="shared" si="3"/>
        <v>694.48500000000001</v>
      </c>
      <c r="L50" s="336">
        <v>63.134999999999998</v>
      </c>
      <c r="M50" s="334">
        <v>11</v>
      </c>
      <c r="N50" s="337">
        <f t="shared" si="4"/>
        <v>42.709463999999997</v>
      </c>
      <c r="O50" s="336">
        <v>10.151999999999999</v>
      </c>
      <c r="P50" s="338">
        <v>4.2069999999999999</v>
      </c>
      <c r="Q50" s="339">
        <v>10.039999999999999</v>
      </c>
      <c r="R50" s="340">
        <f t="shared" si="5"/>
        <v>7.8813999999999993</v>
      </c>
    </row>
    <row r="51" spans="1:18">
      <c r="A51" s="331" t="s">
        <v>859</v>
      </c>
      <c r="B51" s="332">
        <v>220</v>
      </c>
      <c r="C51" s="333">
        <v>70</v>
      </c>
      <c r="D51" s="333">
        <v>20</v>
      </c>
      <c r="E51" s="333">
        <v>100</v>
      </c>
      <c r="F51" s="333">
        <v>30</v>
      </c>
      <c r="G51" s="333">
        <f t="shared" si="0"/>
        <v>30</v>
      </c>
      <c r="H51" s="333">
        <f t="shared" si="1"/>
        <v>9</v>
      </c>
      <c r="I51" s="333">
        <f t="shared" si="2"/>
        <v>6</v>
      </c>
      <c r="J51" s="334">
        <v>3</v>
      </c>
      <c r="K51" s="335">
        <f t="shared" si="3"/>
        <v>815.04499999999996</v>
      </c>
      <c r="L51" s="336">
        <v>74.094999999999999</v>
      </c>
      <c r="M51" s="334">
        <v>11</v>
      </c>
      <c r="N51" s="337">
        <f t="shared" si="4"/>
        <v>49.426915999999999</v>
      </c>
      <c r="O51" s="336">
        <v>11.731999999999999</v>
      </c>
      <c r="P51" s="338">
        <v>4.2130000000000001</v>
      </c>
      <c r="Q51" s="339">
        <v>11.9</v>
      </c>
      <c r="R51" s="340">
        <f t="shared" si="5"/>
        <v>9.3414999999999999</v>
      </c>
    </row>
    <row r="52" spans="1:18">
      <c r="A52" s="331"/>
      <c r="B52" s="332"/>
      <c r="C52" s="333"/>
      <c r="D52" s="333"/>
      <c r="E52" s="333"/>
      <c r="F52" s="333"/>
      <c r="G52" s="333"/>
      <c r="H52" s="333"/>
      <c r="I52" s="333"/>
      <c r="J52" s="334"/>
      <c r="K52" s="335"/>
      <c r="L52" s="336"/>
      <c r="M52" s="334"/>
      <c r="N52" s="337"/>
      <c r="O52" s="336"/>
      <c r="P52" s="338"/>
      <c r="Q52" s="339"/>
      <c r="R52" s="340"/>
    </row>
    <row r="53" spans="1:18" ht="14.4" thickBot="1">
      <c r="A53" s="359"/>
      <c r="B53" s="360"/>
      <c r="C53" s="361"/>
      <c r="D53" s="361"/>
      <c r="E53" s="361"/>
      <c r="F53" s="361"/>
      <c r="G53" s="361"/>
      <c r="H53" s="361"/>
      <c r="I53" s="361"/>
      <c r="J53" s="362"/>
      <c r="K53" s="363"/>
      <c r="L53" s="364"/>
      <c r="M53" s="362"/>
      <c r="N53" s="365"/>
      <c r="O53" s="364"/>
      <c r="P53" s="366"/>
      <c r="Q53" s="367"/>
      <c r="R53" s="368"/>
    </row>
    <row r="54" spans="1:18">
      <c r="A54" s="369"/>
      <c r="B54" s="370"/>
      <c r="C54" s="370"/>
      <c r="D54" s="370"/>
      <c r="E54" s="370"/>
      <c r="F54" s="370"/>
      <c r="G54" s="370"/>
      <c r="H54" s="370"/>
      <c r="I54" s="370"/>
      <c r="J54" s="370"/>
      <c r="K54" s="371"/>
      <c r="L54" s="372"/>
      <c r="M54" s="370"/>
      <c r="N54" s="372"/>
      <c r="O54" s="372"/>
      <c r="P54" s="370"/>
      <c r="Q54" s="373"/>
      <c r="R54" s="372"/>
    </row>
  </sheetData>
  <mergeCells count="8">
    <mergeCell ref="E2:R14"/>
    <mergeCell ref="A15:A18"/>
    <mergeCell ref="B15:J16"/>
    <mergeCell ref="K15:P15"/>
    <mergeCell ref="Q15:Q16"/>
    <mergeCell ref="R15:R16"/>
    <mergeCell ref="K16:M16"/>
    <mergeCell ref="N16:P16"/>
  </mergeCells>
  <pageMargins left="0.22" right="0.27" top="0.25" bottom="0.25" header="0.25" footer="0.25"/>
  <pageSetup paperSize="9" scale="92" orientation="portrait" r:id="rId1"/>
  <headerFooter alignWithMargins="0"/>
  <drawing r:id="rId2"/>
  <legacyDrawing r:id="rId3"/>
  <oleObjects>
    <mc:AlternateContent xmlns:mc="http://schemas.openxmlformats.org/markup-compatibility/2006">
      <mc:Choice Requires="x14">
        <oleObject progId="AutoCAD.Drawing.15" shapeId="7169" r:id="rId4">
          <objectPr defaultSize="0" autoPict="0" r:id="rId5">
            <anchor moveWithCells="1">
              <from>
                <xdr:col>0</xdr:col>
                <xdr:colOff>60960</xdr:colOff>
                <xdr:row>1</xdr:row>
                <xdr:rowOff>0</xdr:rowOff>
              </from>
              <to>
                <xdr:col>3</xdr:col>
                <xdr:colOff>167640</xdr:colOff>
                <xdr:row>13</xdr:row>
                <xdr:rowOff>137160</xdr:rowOff>
              </to>
            </anchor>
          </objectPr>
        </oleObject>
      </mc:Choice>
      <mc:Fallback>
        <oleObject progId="AutoCAD.Drawing.15" shapeId="7169" r:id="rId4"/>
      </mc:Fallback>
    </mc:AlternateContent>
    <mc:AlternateContent xmlns:mc="http://schemas.openxmlformats.org/markup-compatibility/2006">
      <mc:Choice Requires="x14">
        <oleObject progId="AutoCAD.Drawing.15" shapeId="7170" r:id="rId6">
          <objectPr defaultSize="0" autoPict="0" r:id="rId5">
            <anchor moveWithCells="1">
              <from>
                <xdr:col>18</xdr:col>
                <xdr:colOff>533400</xdr:colOff>
                <xdr:row>16</xdr:row>
                <xdr:rowOff>38100</xdr:rowOff>
              </from>
              <to>
                <xdr:col>24</xdr:col>
                <xdr:colOff>632460</xdr:colOff>
                <xdr:row>46</xdr:row>
                <xdr:rowOff>53340</xdr:rowOff>
              </to>
            </anchor>
          </objectPr>
        </oleObject>
      </mc:Choice>
      <mc:Fallback>
        <oleObject progId="AutoCAD.Drawing.15" shapeId="7170" r:id="rId6"/>
      </mc:Fallback>
    </mc:AlternateContent>
  </oleObjec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1:J22"/>
  <sheetViews>
    <sheetView showGridLines="0" topLeftCell="C1" workbookViewId="0">
      <selection activeCell="I1" sqref="I1:J1"/>
    </sheetView>
  </sheetViews>
  <sheetFormatPr defaultColWidth="9.109375" defaultRowHeight="13.2"/>
  <cols>
    <col min="1" max="1" width="2.6640625" style="86" customWidth="1"/>
    <col min="2" max="2" width="25.6640625" style="86" customWidth="1"/>
    <col min="3" max="3" width="12.6640625" style="86" customWidth="1"/>
    <col min="4" max="4" width="2.6640625" style="86" customWidth="1"/>
    <col min="5" max="5" width="25.6640625" style="86" customWidth="1"/>
    <col min="6" max="7" width="12.6640625" style="86" customWidth="1"/>
    <col min="8" max="8" width="2.6640625" style="86" customWidth="1"/>
    <col min="9" max="9" width="40.6640625" style="86" customWidth="1"/>
    <col min="10" max="10" width="12.6640625" style="86" customWidth="1"/>
    <col min="11" max="16384" width="9.109375" style="86"/>
  </cols>
  <sheetData>
    <row r="1" spans="2:10" ht="20.100000000000001" customHeight="1" thickBot="1">
      <c r="B1" s="553" t="s">
        <v>67</v>
      </c>
      <c r="C1" s="553"/>
      <c r="E1" s="552" t="s">
        <v>69</v>
      </c>
      <c r="F1" s="552"/>
      <c r="G1" s="552"/>
      <c r="I1" s="553" t="s">
        <v>87</v>
      </c>
      <c r="J1" s="553"/>
    </row>
    <row r="2" spans="2:10" ht="15" customHeight="1" thickTop="1">
      <c r="B2" s="83" t="s">
        <v>68</v>
      </c>
      <c r="C2" s="84" t="s">
        <v>60</v>
      </c>
      <c r="E2" s="83" t="s">
        <v>70</v>
      </c>
      <c r="F2" s="87" t="s">
        <v>60</v>
      </c>
      <c r="G2" s="84" t="s">
        <v>86</v>
      </c>
      <c r="I2" s="83" t="s">
        <v>88</v>
      </c>
      <c r="J2" s="84" t="s">
        <v>60</v>
      </c>
    </row>
    <row r="3" spans="2:10" ht="15" customHeight="1">
      <c r="B3" s="88" t="s">
        <v>61</v>
      </c>
      <c r="C3" s="46">
        <v>1.6</v>
      </c>
      <c r="E3" s="88" t="s">
        <v>71</v>
      </c>
      <c r="F3" s="45">
        <v>1.6</v>
      </c>
      <c r="G3" s="85"/>
      <c r="I3" s="88" t="s">
        <v>89</v>
      </c>
      <c r="J3" s="46">
        <v>2.2000000000000002</v>
      </c>
    </row>
    <row r="4" spans="2:10" ht="15" customHeight="1">
      <c r="B4" s="88" t="s">
        <v>62</v>
      </c>
      <c r="C4" s="46">
        <v>1.8</v>
      </c>
      <c r="E4" s="88" t="s">
        <v>72</v>
      </c>
      <c r="F4" s="45">
        <v>1.8</v>
      </c>
      <c r="G4" s="85"/>
      <c r="I4" s="88" t="s">
        <v>90</v>
      </c>
      <c r="J4" s="46">
        <v>2</v>
      </c>
    </row>
    <row r="5" spans="2:10" ht="15" customHeight="1">
      <c r="B5" s="88" t="s">
        <v>63</v>
      </c>
      <c r="C5" s="46">
        <v>2</v>
      </c>
      <c r="E5" s="88" t="s">
        <v>73</v>
      </c>
      <c r="F5" s="45" t="s">
        <v>74</v>
      </c>
      <c r="G5" s="85"/>
      <c r="I5" s="88" t="s">
        <v>91</v>
      </c>
      <c r="J5" s="46"/>
    </row>
    <row r="6" spans="2:10" ht="15" customHeight="1">
      <c r="B6" s="88" t="s">
        <v>64</v>
      </c>
      <c r="C6" s="46">
        <v>2.2000000000000002</v>
      </c>
      <c r="E6" s="88" t="s">
        <v>75</v>
      </c>
      <c r="F6" s="45">
        <v>1.8</v>
      </c>
      <c r="G6" s="85"/>
      <c r="I6" s="88" t="s">
        <v>92</v>
      </c>
      <c r="J6" s="46">
        <v>2.1</v>
      </c>
    </row>
    <row r="7" spans="2:10" ht="15" customHeight="1">
      <c r="B7" s="88" t="s">
        <v>65</v>
      </c>
      <c r="C7" s="46">
        <v>2.4</v>
      </c>
      <c r="E7" s="88" t="s">
        <v>76</v>
      </c>
      <c r="F7" s="45">
        <v>2</v>
      </c>
      <c r="G7" s="85"/>
      <c r="I7" s="88" t="s">
        <v>93</v>
      </c>
      <c r="J7" s="46">
        <v>2.2000000000000002</v>
      </c>
    </row>
    <row r="8" spans="2:10" ht="15" customHeight="1">
      <c r="B8" s="88" t="s">
        <v>66</v>
      </c>
      <c r="C8" s="46">
        <v>2.6</v>
      </c>
      <c r="E8" s="88" t="s">
        <v>77</v>
      </c>
      <c r="F8" s="45">
        <v>2.2000000000000002</v>
      </c>
      <c r="G8" s="85"/>
      <c r="I8" s="88" t="s">
        <v>94</v>
      </c>
      <c r="J8" s="46">
        <v>2.2999999999999998</v>
      </c>
    </row>
    <row r="9" spans="2:10" ht="15" customHeight="1" thickBot="1">
      <c r="B9" s="89" t="s">
        <v>173</v>
      </c>
      <c r="C9" s="73">
        <v>2.8</v>
      </c>
      <c r="E9" s="88" t="s">
        <v>78</v>
      </c>
      <c r="F9" s="45">
        <v>2.4</v>
      </c>
      <c r="G9" s="85"/>
      <c r="I9" s="88" t="s">
        <v>95</v>
      </c>
      <c r="J9" s="46">
        <v>2.4</v>
      </c>
    </row>
    <row r="10" spans="2:10" ht="15" customHeight="1" thickTop="1">
      <c r="E10" s="88" t="s">
        <v>79</v>
      </c>
      <c r="F10" s="45"/>
      <c r="G10" s="46" t="s">
        <v>74</v>
      </c>
      <c r="I10" s="88" t="s">
        <v>96</v>
      </c>
      <c r="J10" s="46">
        <v>2.6</v>
      </c>
    </row>
    <row r="11" spans="2:10" ht="15" customHeight="1">
      <c r="E11" s="88" t="s">
        <v>80</v>
      </c>
      <c r="F11" s="45"/>
      <c r="G11" s="46" t="s">
        <v>74</v>
      </c>
      <c r="I11" s="88" t="s">
        <v>97</v>
      </c>
      <c r="J11" s="46">
        <v>1.8</v>
      </c>
    </row>
    <row r="12" spans="2:10" ht="15" customHeight="1">
      <c r="E12" s="88" t="s">
        <v>81</v>
      </c>
      <c r="F12" s="45"/>
      <c r="G12" s="46" t="s">
        <v>74</v>
      </c>
      <c r="I12" s="88" t="s">
        <v>98</v>
      </c>
      <c r="J12" s="46">
        <v>2</v>
      </c>
    </row>
    <row r="13" spans="2:10" ht="15" customHeight="1">
      <c r="E13" s="88" t="s">
        <v>82</v>
      </c>
      <c r="F13" s="45"/>
      <c r="G13" s="46" t="s">
        <v>74</v>
      </c>
      <c r="I13" s="88" t="s">
        <v>99</v>
      </c>
      <c r="J13" s="46">
        <v>0.4</v>
      </c>
    </row>
    <row r="14" spans="2:10" ht="15" customHeight="1">
      <c r="E14" s="88" t="s">
        <v>83</v>
      </c>
      <c r="F14" s="45"/>
      <c r="G14" s="46" t="s">
        <v>74</v>
      </c>
      <c r="I14" s="88" t="s">
        <v>100</v>
      </c>
      <c r="J14" s="46">
        <v>0.6</v>
      </c>
    </row>
    <row r="15" spans="2:10" ht="15" customHeight="1">
      <c r="E15" s="88" t="s">
        <v>84</v>
      </c>
      <c r="F15" s="45"/>
      <c r="G15" s="46" t="s">
        <v>74</v>
      </c>
      <c r="I15" s="88" t="s">
        <v>101</v>
      </c>
      <c r="J15" s="46">
        <v>0.8</v>
      </c>
    </row>
    <row r="16" spans="2:10" ht="15" customHeight="1" thickBot="1">
      <c r="E16" s="89" t="s">
        <v>85</v>
      </c>
      <c r="F16" s="72"/>
      <c r="G16" s="73" t="s">
        <v>74</v>
      </c>
      <c r="I16" s="88" t="s">
        <v>102</v>
      </c>
      <c r="J16" s="46">
        <v>1.25</v>
      </c>
    </row>
    <row r="17" spans="2:10" ht="15" customHeight="1" thickTop="1" thickBot="1">
      <c r="I17" s="89" t="s">
        <v>103</v>
      </c>
      <c r="J17" s="73">
        <v>2</v>
      </c>
    </row>
    <row r="18" spans="2:10" ht="15" customHeight="1" thickTop="1">
      <c r="B18" s="86" t="s">
        <v>653</v>
      </c>
    </row>
    <row r="19" spans="2:10" ht="15" customHeight="1"/>
    <row r="20" spans="2:10" ht="15" customHeight="1"/>
    <row r="21" spans="2:10" ht="15" customHeight="1"/>
    <row r="22" spans="2:10" ht="15" customHeight="1"/>
  </sheetData>
  <customSheetViews>
    <customSheetView guid="{C0BE45DA-73C0-4B1E-ABFB-A0FAB57D4E46}" showGridLines="0" showRuler="0">
      <selection activeCell="J31" sqref="J31"/>
      <pageMargins left="0.75" right="0.75" top="1" bottom="1" header="0.5" footer="0.5"/>
      <pageSetup paperSize="9" orientation="portrait" horizontalDpi="4294967293" verticalDpi="0" r:id="rId1"/>
      <headerFooter alignWithMargins="0"/>
    </customSheetView>
  </customSheetViews>
  <mergeCells count="3">
    <mergeCell ref="B1:C1"/>
    <mergeCell ref="E1:G1"/>
    <mergeCell ref="I1:J1"/>
  </mergeCells>
  <phoneticPr fontId="2" type="noConversion"/>
  <pageMargins left="0.94488188976377963" right="0.35433070866141736" top="0.98425196850393704" bottom="0.39370078740157483" header="0.51181102362204722" footer="0.51181102362204722"/>
  <pageSetup paperSize="9" scale="89" orientation="landscape" horizontalDpi="4294967293" verticalDpi="0" r:id="rId2"/>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6"/>
  </sheetPr>
  <dimension ref="B1:K34"/>
  <sheetViews>
    <sheetView showGridLines="0" workbookViewId="0">
      <selection activeCell="B1" sqref="B1:K1"/>
    </sheetView>
  </sheetViews>
  <sheetFormatPr defaultRowHeight="13.2"/>
  <cols>
    <col min="1" max="1" width="2.6640625" customWidth="1"/>
    <col min="2" max="2" width="20.6640625" customWidth="1"/>
    <col min="3" max="3" width="12.6640625" customWidth="1"/>
    <col min="4" max="4" width="20.6640625" customWidth="1"/>
    <col min="5" max="5" width="12.6640625" customWidth="1"/>
    <col min="6" max="6" width="20.6640625" customWidth="1"/>
    <col min="7" max="7" width="12.6640625" customWidth="1"/>
    <col min="8" max="8" width="20.6640625" customWidth="1"/>
    <col min="9" max="9" width="10.6640625" customWidth="1"/>
    <col min="10" max="10" width="20.6640625" customWidth="1"/>
    <col min="11" max="11" width="12.6640625" customWidth="1"/>
  </cols>
  <sheetData>
    <row r="1" spans="2:11" ht="15" customHeight="1" thickBot="1">
      <c r="B1" s="507" t="s">
        <v>104</v>
      </c>
      <c r="C1" s="507"/>
      <c r="D1" s="507"/>
      <c r="E1" s="507"/>
      <c r="F1" s="507"/>
      <c r="G1" s="507"/>
      <c r="H1" s="507"/>
      <c r="I1" s="507"/>
      <c r="J1" s="507"/>
      <c r="K1" s="507"/>
    </row>
    <row r="2" spans="2:11" ht="24.9" customHeight="1" thickTop="1">
      <c r="B2" s="56" t="s">
        <v>70</v>
      </c>
      <c r="C2" s="97" t="s">
        <v>105</v>
      </c>
      <c r="D2" s="56" t="s">
        <v>70</v>
      </c>
      <c r="E2" s="98" t="s">
        <v>105</v>
      </c>
      <c r="F2" s="99" t="s">
        <v>70</v>
      </c>
      <c r="G2" s="98" t="s">
        <v>105</v>
      </c>
      <c r="H2" s="99" t="s">
        <v>70</v>
      </c>
      <c r="I2" s="98" t="s">
        <v>105</v>
      </c>
      <c r="J2" s="99" t="s">
        <v>70</v>
      </c>
      <c r="K2" s="98" t="s">
        <v>105</v>
      </c>
    </row>
    <row r="3" spans="2:11" ht="15" customHeight="1">
      <c r="B3" s="92" t="s">
        <v>106</v>
      </c>
      <c r="C3" s="90" t="s">
        <v>107</v>
      </c>
      <c r="D3" s="92" t="s">
        <v>138</v>
      </c>
      <c r="E3" s="21">
        <v>2.6</v>
      </c>
      <c r="F3" s="96" t="s">
        <v>168</v>
      </c>
      <c r="G3" s="25">
        <v>1.55</v>
      </c>
      <c r="H3" s="96" t="s">
        <v>205</v>
      </c>
      <c r="I3" s="25">
        <v>1.4</v>
      </c>
      <c r="J3" s="96" t="s">
        <v>238</v>
      </c>
      <c r="K3" s="25">
        <v>1.8</v>
      </c>
    </row>
    <row r="4" spans="2:11" ht="15" customHeight="1">
      <c r="B4" s="92" t="s">
        <v>108</v>
      </c>
      <c r="C4" s="90">
        <v>0.79</v>
      </c>
      <c r="D4" s="92" t="s">
        <v>139</v>
      </c>
      <c r="E4" s="21" t="s">
        <v>140</v>
      </c>
      <c r="F4" s="92" t="s">
        <v>169</v>
      </c>
      <c r="G4" s="21">
        <v>1.6</v>
      </c>
      <c r="H4" s="92" t="s">
        <v>206</v>
      </c>
      <c r="I4" s="21">
        <v>1.53</v>
      </c>
      <c r="J4" s="92" t="s">
        <v>239</v>
      </c>
      <c r="K4" s="21">
        <v>1.49</v>
      </c>
    </row>
    <row r="5" spans="2:11" ht="15" customHeight="1">
      <c r="B5" s="92" t="s">
        <v>109</v>
      </c>
      <c r="C5" s="90" t="s">
        <v>110</v>
      </c>
      <c r="D5" s="92" t="s">
        <v>141</v>
      </c>
      <c r="E5" s="21">
        <v>13.6</v>
      </c>
      <c r="F5" s="94" t="s">
        <v>170</v>
      </c>
      <c r="G5" s="21">
        <v>1.8</v>
      </c>
      <c r="H5" s="94" t="s">
        <v>207</v>
      </c>
      <c r="I5" s="21" t="s">
        <v>208</v>
      </c>
      <c r="J5" s="94" t="s">
        <v>240</v>
      </c>
      <c r="K5" s="21">
        <v>0.98</v>
      </c>
    </row>
    <row r="6" spans="2:11" ht="15" customHeight="1">
      <c r="B6" s="92" t="s">
        <v>111</v>
      </c>
      <c r="C6" s="90">
        <v>2.6</v>
      </c>
      <c r="D6" s="92" t="s">
        <v>142</v>
      </c>
      <c r="E6" s="21">
        <v>1.6</v>
      </c>
      <c r="F6" s="94" t="s">
        <v>172</v>
      </c>
      <c r="G6" s="21">
        <v>2</v>
      </c>
      <c r="H6" s="94" t="s">
        <v>209</v>
      </c>
      <c r="I6" s="21" t="s">
        <v>210</v>
      </c>
      <c r="J6" s="94" t="s">
        <v>80</v>
      </c>
      <c r="K6" s="21" t="s">
        <v>241</v>
      </c>
    </row>
    <row r="7" spans="2:11" ht="15" customHeight="1">
      <c r="B7" s="92" t="s">
        <v>112</v>
      </c>
      <c r="C7" s="90">
        <v>2.7</v>
      </c>
      <c r="D7" s="92" t="s">
        <v>143</v>
      </c>
      <c r="E7" s="21">
        <v>1.2</v>
      </c>
      <c r="F7" s="94" t="s">
        <v>171</v>
      </c>
      <c r="G7" s="21">
        <v>2.2000000000000002</v>
      </c>
      <c r="H7" s="94" t="s">
        <v>211</v>
      </c>
      <c r="I7" s="21">
        <v>1.45</v>
      </c>
      <c r="J7" s="94" t="s">
        <v>242</v>
      </c>
      <c r="K7" s="21">
        <v>11.3</v>
      </c>
    </row>
    <row r="8" spans="2:11" ht="15" customHeight="1">
      <c r="B8" s="92" t="s">
        <v>113</v>
      </c>
      <c r="C8" s="90">
        <v>19.329999999999998</v>
      </c>
      <c r="D8" s="92" t="s">
        <v>144</v>
      </c>
      <c r="E8" s="21">
        <v>7.17</v>
      </c>
      <c r="F8" s="94" t="s">
        <v>174</v>
      </c>
      <c r="G8" s="21">
        <v>2.4</v>
      </c>
      <c r="H8" s="94" t="s">
        <v>212</v>
      </c>
      <c r="I8" s="21">
        <v>0.8</v>
      </c>
      <c r="J8" s="94" t="s">
        <v>243</v>
      </c>
      <c r="K8" s="21">
        <v>4.5</v>
      </c>
    </row>
    <row r="9" spans="2:11" ht="15" customHeight="1">
      <c r="B9" s="92" t="s">
        <v>114</v>
      </c>
      <c r="C9" s="90">
        <v>5.72</v>
      </c>
      <c r="D9" s="92" t="s">
        <v>145</v>
      </c>
      <c r="E9" s="21" t="s">
        <v>146</v>
      </c>
      <c r="F9" s="94" t="s">
        <v>175</v>
      </c>
      <c r="G9" s="21">
        <v>2.6</v>
      </c>
      <c r="H9" s="94" t="s">
        <v>213</v>
      </c>
      <c r="I9" s="21">
        <v>3</v>
      </c>
      <c r="J9" s="94" t="s">
        <v>244</v>
      </c>
      <c r="K9" s="21">
        <v>1.2</v>
      </c>
    </row>
    <row r="10" spans="2:11" ht="15" customHeight="1">
      <c r="B10" s="92" t="s">
        <v>115</v>
      </c>
      <c r="C10" s="90">
        <v>3</v>
      </c>
      <c r="D10" s="92" t="s">
        <v>147</v>
      </c>
      <c r="E10" s="21">
        <v>7.85</v>
      </c>
      <c r="F10" s="94" t="s">
        <v>176</v>
      </c>
      <c r="G10" s="21">
        <v>2.8</v>
      </c>
      <c r="H10" s="94" t="s">
        <v>214</v>
      </c>
      <c r="I10" s="21" t="s">
        <v>215</v>
      </c>
      <c r="J10" s="94" t="s">
        <v>245</v>
      </c>
      <c r="K10" s="21">
        <v>18.7</v>
      </c>
    </row>
    <row r="11" spans="2:11" ht="15" customHeight="1">
      <c r="B11" s="92" t="s">
        <v>116</v>
      </c>
      <c r="C11" s="90">
        <v>1.5549999999999999</v>
      </c>
      <c r="D11" s="92" t="s">
        <v>148</v>
      </c>
      <c r="E11" s="21">
        <v>7.8</v>
      </c>
      <c r="F11" s="94" t="s">
        <v>177</v>
      </c>
      <c r="G11" s="21">
        <v>0.67500000000000004</v>
      </c>
      <c r="H11" s="94" t="s">
        <v>216</v>
      </c>
      <c r="I11" s="21">
        <v>0.91</v>
      </c>
      <c r="J11" s="94" t="s">
        <v>246</v>
      </c>
      <c r="K11" s="21">
        <v>5.6</v>
      </c>
    </row>
    <row r="12" spans="2:11" ht="15" customHeight="1">
      <c r="B12" s="92" t="s">
        <v>117</v>
      </c>
      <c r="C12" s="90">
        <v>6.7</v>
      </c>
      <c r="D12" s="92" t="s">
        <v>149</v>
      </c>
      <c r="E12" s="21">
        <v>7.25</v>
      </c>
      <c r="F12" s="94" t="s">
        <v>178</v>
      </c>
      <c r="G12" s="21">
        <v>0.8</v>
      </c>
      <c r="H12" s="94" t="s">
        <v>217</v>
      </c>
      <c r="I12" s="21">
        <v>1.74</v>
      </c>
      <c r="J12" s="94" t="s">
        <v>247</v>
      </c>
      <c r="K12" s="21">
        <v>19.100000000000001</v>
      </c>
    </row>
    <row r="13" spans="2:11" ht="15" customHeight="1">
      <c r="B13" s="92" t="s">
        <v>119</v>
      </c>
      <c r="C13" s="90" t="s">
        <v>118</v>
      </c>
      <c r="D13" s="92" t="s">
        <v>150</v>
      </c>
      <c r="E13" s="21">
        <v>7.85</v>
      </c>
      <c r="F13" s="94" t="s">
        <v>179</v>
      </c>
      <c r="G13" s="21" t="s">
        <v>186</v>
      </c>
      <c r="H13" s="94" t="s">
        <v>218</v>
      </c>
      <c r="I13" s="21">
        <v>1.8</v>
      </c>
      <c r="J13" s="94" t="s">
        <v>248</v>
      </c>
      <c r="K13" s="21">
        <v>0.87</v>
      </c>
    </row>
    <row r="14" spans="2:11" ht="15" customHeight="1">
      <c r="B14" s="92" t="s">
        <v>120</v>
      </c>
      <c r="C14" s="90">
        <v>0.99399999999999999</v>
      </c>
      <c r="D14" s="92" t="s">
        <v>151</v>
      </c>
      <c r="E14" s="21" t="s">
        <v>152</v>
      </c>
      <c r="F14" s="94" t="s">
        <v>180</v>
      </c>
      <c r="G14" s="21">
        <v>0.84</v>
      </c>
      <c r="H14" s="94" t="s">
        <v>219</v>
      </c>
      <c r="I14" s="21">
        <v>7.3</v>
      </c>
      <c r="J14" s="94" t="s">
        <v>249</v>
      </c>
      <c r="K14" s="21">
        <v>0.88</v>
      </c>
    </row>
    <row r="15" spans="2:11" ht="15" customHeight="1">
      <c r="B15" s="92" t="s">
        <v>121</v>
      </c>
      <c r="C15" s="90" t="s">
        <v>122</v>
      </c>
      <c r="D15" s="92" t="s">
        <v>153</v>
      </c>
      <c r="E15" s="21">
        <v>3.5</v>
      </c>
      <c r="F15" s="94" t="s">
        <v>181</v>
      </c>
      <c r="G15" s="21" t="s">
        <v>187</v>
      </c>
      <c r="H15" s="94" t="s">
        <v>220</v>
      </c>
      <c r="I15" s="21">
        <v>0.85</v>
      </c>
      <c r="J15" s="94" t="s">
        <v>250</v>
      </c>
      <c r="K15" s="21">
        <v>0.91</v>
      </c>
    </row>
    <row r="16" spans="2:11" ht="15" customHeight="1">
      <c r="B16" s="92" t="s">
        <v>123</v>
      </c>
      <c r="C16" s="90">
        <v>3.6</v>
      </c>
      <c r="D16" s="92" t="s">
        <v>154</v>
      </c>
      <c r="E16" s="21">
        <v>0.73</v>
      </c>
      <c r="F16" s="94" t="s">
        <v>182</v>
      </c>
      <c r="G16" s="21" t="s">
        <v>188</v>
      </c>
      <c r="H16" s="94" t="s">
        <v>221</v>
      </c>
      <c r="I16" s="21">
        <v>8.8000000000000007</v>
      </c>
      <c r="J16" s="94" t="s">
        <v>251</v>
      </c>
      <c r="K16" s="21">
        <v>0.93</v>
      </c>
    </row>
    <row r="17" spans="2:11" ht="15" customHeight="1">
      <c r="B17" s="92" t="s">
        <v>124</v>
      </c>
      <c r="C17" s="90">
        <v>4.5</v>
      </c>
      <c r="D17" s="92" t="s">
        <v>155</v>
      </c>
      <c r="E17" s="21">
        <v>1.83</v>
      </c>
      <c r="F17" s="94" t="s">
        <v>185</v>
      </c>
      <c r="G17" s="21" t="s">
        <v>186</v>
      </c>
      <c r="H17" s="94" t="s">
        <v>222</v>
      </c>
      <c r="I17" s="21" t="s">
        <v>223</v>
      </c>
      <c r="J17" s="94" t="s">
        <v>252</v>
      </c>
      <c r="K17" s="21">
        <v>1.5</v>
      </c>
    </row>
    <row r="18" spans="2:11" ht="15" customHeight="1">
      <c r="B18" s="92" t="s">
        <v>125</v>
      </c>
      <c r="C18" s="90">
        <v>8.8000000000000007</v>
      </c>
      <c r="D18" s="92" t="s">
        <v>156</v>
      </c>
      <c r="E18" s="21">
        <v>0.86</v>
      </c>
      <c r="F18" s="94" t="s">
        <v>183</v>
      </c>
      <c r="G18" s="21" t="s">
        <v>189</v>
      </c>
      <c r="H18" s="94" t="s">
        <v>224</v>
      </c>
      <c r="I18" s="21" t="s">
        <v>225</v>
      </c>
      <c r="J18" s="94" t="s">
        <v>253</v>
      </c>
      <c r="K18" s="21">
        <v>0.33</v>
      </c>
    </row>
    <row r="19" spans="2:11" ht="15" customHeight="1">
      <c r="B19" s="92" t="s">
        <v>126</v>
      </c>
      <c r="C19" s="90">
        <v>8.9</v>
      </c>
      <c r="D19" s="92" t="s">
        <v>157</v>
      </c>
      <c r="E19" s="21">
        <v>2.1</v>
      </c>
      <c r="F19" s="94" t="s">
        <v>184</v>
      </c>
      <c r="G19" s="21" t="s">
        <v>187</v>
      </c>
      <c r="H19" s="94" t="s">
        <v>226</v>
      </c>
      <c r="I19" s="21" t="s">
        <v>227</v>
      </c>
      <c r="J19" s="94" t="s">
        <v>254</v>
      </c>
      <c r="K19" s="21">
        <v>2.15</v>
      </c>
    </row>
    <row r="20" spans="2:11" ht="15" customHeight="1">
      <c r="B20" s="92" t="s">
        <v>127</v>
      </c>
      <c r="C20" s="90">
        <v>3.1</v>
      </c>
      <c r="D20" s="92" t="s">
        <v>158</v>
      </c>
      <c r="E20" s="21">
        <v>1.27</v>
      </c>
      <c r="F20" s="94" t="s">
        <v>191</v>
      </c>
      <c r="G20" s="21" t="s">
        <v>192</v>
      </c>
      <c r="H20" s="94" t="s">
        <v>228</v>
      </c>
      <c r="I20" s="21">
        <v>0.86</v>
      </c>
      <c r="J20" s="94" t="s">
        <v>255</v>
      </c>
      <c r="K20" s="21">
        <v>1.8</v>
      </c>
    </row>
    <row r="21" spans="2:11" ht="15" customHeight="1">
      <c r="B21" s="92" t="s">
        <v>128</v>
      </c>
      <c r="C21" s="90">
        <v>0.89</v>
      </c>
      <c r="D21" s="92" t="s">
        <v>159</v>
      </c>
      <c r="E21" s="21">
        <v>10.5</v>
      </c>
      <c r="F21" s="94" t="s">
        <v>79</v>
      </c>
      <c r="G21" s="21" t="s">
        <v>193</v>
      </c>
      <c r="H21" s="94" t="s">
        <v>229</v>
      </c>
      <c r="I21" s="21">
        <v>21.4</v>
      </c>
      <c r="J21" s="94" t="s">
        <v>256</v>
      </c>
      <c r="K21" s="21">
        <v>1</v>
      </c>
    </row>
    <row r="22" spans="2:11" ht="15" customHeight="1">
      <c r="B22" s="92" t="s">
        <v>129</v>
      </c>
      <c r="C22" s="90">
        <v>0.73499999999999999</v>
      </c>
      <c r="D22" s="92" t="s">
        <v>160</v>
      </c>
      <c r="E22" s="21">
        <v>1</v>
      </c>
      <c r="F22" s="94" t="s">
        <v>194</v>
      </c>
      <c r="G22" s="21" t="s">
        <v>195</v>
      </c>
      <c r="H22" s="94" t="s">
        <v>230</v>
      </c>
      <c r="I22" s="21">
        <v>0.9</v>
      </c>
      <c r="J22" s="94" t="s">
        <v>257</v>
      </c>
      <c r="K22" s="21">
        <v>1.2</v>
      </c>
    </row>
    <row r="23" spans="2:11" ht="15" customHeight="1">
      <c r="B23" s="92" t="s">
        <v>130</v>
      </c>
      <c r="C23" s="90">
        <v>2.4</v>
      </c>
      <c r="D23" s="92" t="s">
        <v>161</v>
      </c>
      <c r="E23" s="21">
        <v>1.2</v>
      </c>
      <c r="F23" s="94" t="s">
        <v>196</v>
      </c>
      <c r="G23" s="21" t="s">
        <v>197</v>
      </c>
      <c r="H23" s="94" t="s">
        <v>231</v>
      </c>
      <c r="I23" s="21">
        <v>0.8</v>
      </c>
      <c r="J23" s="94"/>
      <c r="K23" s="21"/>
    </row>
    <row r="24" spans="2:11" ht="15" customHeight="1">
      <c r="B24" s="92" t="s">
        <v>131</v>
      </c>
      <c r="C24" s="90" t="s">
        <v>132</v>
      </c>
      <c r="D24" s="92" t="s">
        <v>190</v>
      </c>
      <c r="E24" s="21">
        <v>1</v>
      </c>
      <c r="F24" s="94" t="s">
        <v>198</v>
      </c>
      <c r="G24" s="21">
        <v>1.76</v>
      </c>
      <c r="H24" s="94" t="s">
        <v>232</v>
      </c>
      <c r="I24" s="21">
        <v>5</v>
      </c>
      <c r="J24" s="94"/>
      <c r="K24" s="21"/>
    </row>
    <row r="25" spans="2:11" ht="15" customHeight="1">
      <c r="B25" s="92" t="s">
        <v>133</v>
      </c>
      <c r="C25" s="90">
        <v>0.94</v>
      </c>
      <c r="D25" s="92" t="s">
        <v>162</v>
      </c>
      <c r="E25" s="21">
        <v>3.51</v>
      </c>
      <c r="F25" s="94" t="s">
        <v>199</v>
      </c>
      <c r="G25" s="21">
        <v>1.42</v>
      </c>
      <c r="H25" s="94" t="s">
        <v>233</v>
      </c>
      <c r="I25" s="21">
        <v>0.96</v>
      </c>
      <c r="J25" s="94"/>
      <c r="K25" s="21"/>
    </row>
    <row r="26" spans="2:11" ht="15" customHeight="1">
      <c r="B26" s="92" t="s">
        <v>134</v>
      </c>
      <c r="C26" s="90">
        <v>8.85</v>
      </c>
      <c r="D26" s="92" t="s">
        <v>163</v>
      </c>
      <c r="E26" s="21" t="s">
        <v>164</v>
      </c>
      <c r="F26" s="94" t="s">
        <v>200</v>
      </c>
      <c r="G26" s="21">
        <v>1.6</v>
      </c>
      <c r="H26" s="94" t="s">
        <v>234</v>
      </c>
      <c r="I26" s="21">
        <v>2.34</v>
      </c>
      <c r="J26" s="94"/>
      <c r="K26" s="21"/>
    </row>
    <row r="27" spans="2:11" ht="15" customHeight="1">
      <c r="B27" s="92" t="s">
        <v>135</v>
      </c>
      <c r="C27" s="90">
        <v>1.75</v>
      </c>
      <c r="D27" s="92" t="s">
        <v>165</v>
      </c>
      <c r="E27" s="21">
        <v>1.2</v>
      </c>
      <c r="F27" s="94" t="s">
        <v>201</v>
      </c>
      <c r="G27" s="21">
        <v>1.8</v>
      </c>
      <c r="H27" s="94" t="s">
        <v>235</v>
      </c>
      <c r="I27" s="21">
        <v>1.68</v>
      </c>
      <c r="J27" s="94"/>
      <c r="K27" s="21"/>
    </row>
    <row r="28" spans="2:11" ht="15" customHeight="1">
      <c r="B28" s="92" t="s">
        <v>136</v>
      </c>
      <c r="C28" s="90">
        <v>0.92200000000000004</v>
      </c>
      <c r="D28" s="92" t="s">
        <v>166</v>
      </c>
      <c r="E28" s="21">
        <v>1.2</v>
      </c>
      <c r="F28" s="94" t="s">
        <v>202</v>
      </c>
      <c r="G28" s="21" t="s">
        <v>203</v>
      </c>
      <c r="H28" s="94" t="s">
        <v>236</v>
      </c>
      <c r="I28" s="21">
        <v>1</v>
      </c>
      <c r="J28" s="94"/>
      <c r="K28" s="21"/>
    </row>
    <row r="29" spans="2:11" ht="15" customHeight="1" thickBot="1">
      <c r="B29" s="93" t="s">
        <v>137</v>
      </c>
      <c r="C29" s="91">
        <v>3.14</v>
      </c>
      <c r="D29" s="93" t="s">
        <v>167</v>
      </c>
      <c r="E29" s="22">
        <v>7.29</v>
      </c>
      <c r="F29" s="95" t="s">
        <v>204</v>
      </c>
      <c r="G29" s="22">
        <v>11.32</v>
      </c>
      <c r="H29" s="95" t="s">
        <v>237</v>
      </c>
      <c r="I29" s="22">
        <v>1.026</v>
      </c>
      <c r="J29" s="95"/>
      <c r="K29" s="22"/>
    </row>
    <row r="30" spans="2:11" ht="15" customHeight="1" thickTop="1"/>
    <row r="31" spans="2:11" ht="15" customHeight="1"/>
    <row r="32" spans="2:11" ht="15" customHeight="1"/>
    <row r="33" ht="15" customHeight="1"/>
    <row r="34" ht="15" customHeight="1"/>
  </sheetData>
  <customSheetViews>
    <customSheetView guid="{C0BE45DA-73C0-4B1E-ABFB-A0FAB57D4E46}" showGridLines="0" showRuler="0">
      <selection activeCell="B2" sqref="B2"/>
      <pageMargins left="0.75" right="0.75" top="1" bottom="1" header="0.5" footer="0.5"/>
      <headerFooter alignWithMargins="0"/>
    </customSheetView>
  </customSheetViews>
  <mergeCells count="1">
    <mergeCell ref="B1:K1"/>
  </mergeCells>
  <phoneticPr fontId="2" type="noConversion"/>
  <pageMargins left="0.94488188976377963" right="0.35433070866141736" top="0.98425196850393704" bottom="0.39370078740157483" header="0.51181102362204722" footer="0.51181102362204722"/>
  <pageSetup paperSize="9" scale="80" orientation="landscape" horizontalDpi="4294967293" verticalDpi="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7"/>
  </sheetPr>
  <dimension ref="B1:F151"/>
  <sheetViews>
    <sheetView workbookViewId="0">
      <selection activeCell="B3" sqref="B3:E3"/>
    </sheetView>
  </sheetViews>
  <sheetFormatPr defaultColWidth="9.109375" defaultRowHeight="13.2"/>
  <cols>
    <col min="1" max="1" width="2.6640625" style="155" customWidth="1"/>
    <col min="2" max="2" width="60.6640625" style="155" customWidth="1"/>
    <col min="3" max="6" width="15.6640625" style="155" customWidth="1"/>
    <col min="7" max="16384" width="9.109375" style="155"/>
  </cols>
  <sheetData>
    <row r="1" spans="2:6" ht="20.100000000000001" customHeight="1">
      <c r="B1" s="156" t="s">
        <v>411</v>
      </c>
      <c r="C1" s="156"/>
      <c r="D1" s="156"/>
      <c r="E1" s="153"/>
    </row>
    <row r="2" spans="2:6" ht="20.100000000000001" customHeight="1">
      <c r="B2" s="154"/>
      <c r="C2" s="154"/>
      <c r="D2" s="154"/>
      <c r="E2" s="153"/>
    </row>
    <row r="3" spans="2:6" ht="20.100000000000001" customHeight="1">
      <c r="B3" s="555" t="s">
        <v>654</v>
      </c>
      <c r="C3" s="555"/>
      <c r="D3" s="555"/>
      <c r="E3" s="555"/>
    </row>
    <row r="4" spans="2:6" ht="20.100000000000001" customHeight="1">
      <c r="B4" s="555"/>
      <c r="C4" s="555"/>
      <c r="D4" s="555"/>
      <c r="E4" s="555"/>
    </row>
    <row r="5" spans="2:6" ht="20.100000000000001" customHeight="1">
      <c r="B5" s="156"/>
      <c r="C5" s="156"/>
      <c r="D5" s="156"/>
      <c r="E5" s="153"/>
    </row>
    <row r="6" spans="2:6" ht="45" customHeight="1">
      <c r="B6" s="554" t="s">
        <v>425</v>
      </c>
      <c r="C6" s="554"/>
      <c r="D6" s="554"/>
      <c r="E6" s="554"/>
      <c r="F6" s="554"/>
    </row>
    <row r="7" spans="2:6" ht="20.100000000000001" customHeight="1">
      <c r="B7" s="154"/>
      <c r="C7" s="158">
        <v>2004</v>
      </c>
      <c r="D7" s="158">
        <v>2005</v>
      </c>
      <c r="E7" s="160">
        <v>2006</v>
      </c>
      <c r="F7" s="158">
        <v>2007</v>
      </c>
    </row>
    <row r="8" spans="2:6" ht="20.100000000000001" customHeight="1">
      <c r="B8" s="154"/>
      <c r="C8" s="557" t="s">
        <v>421</v>
      </c>
      <c r="D8" s="557"/>
      <c r="E8" s="557"/>
      <c r="F8" s="557"/>
    </row>
    <row r="9" spans="2:6" ht="20.100000000000001" customHeight="1">
      <c r="B9" s="156" t="s">
        <v>422</v>
      </c>
      <c r="C9" s="558" t="s">
        <v>423</v>
      </c>
      <c r="D9" s="558"/>
      <c r="E9" s="558"/>
      <c r="F9" s="558"/>
    </row>
    <row r="10" spans="2:6" ht="20.100000000000001" customHeight="1">
      <c r="B10" s="156" t="s">
        <v>412</v>
      </c>
      <c r="C10" s="156"/>
      <c r="D10" s="156"/>
      <c r="E10" s="153"/>
    </row>
    <row r="11" spans="2:6" ht="20.100000000000001" customHeight="1">
      <c r="B11" s="156" t="s">
        <v>424</v>
      </c>
      <c r="C11" s="159">
        <v>46</v>
      </c>
      <c r="D11" s="159">
        <v>51</v>
      </c>
      <c r="E11" s="159">
        <v>54</v>
      </c>
      <c r="F11" s="159"/>
    </row>
    <row r="12" spans="2:6" ht="20.100000000000001" customHeight="1">
      <c r="B12" s="157" t="s">
        <v>426</v>
      </c>
      <c r="C12" s="157"/>
      <c r="D12" s="157"/>
      <c r="E12" s="153"/>
    </row>
    <row r="13" spans="2:6" ht="20.100000000000001" customHeight="1">
      <c r="B13" s="157" t="s">
        <v>427</v>
      </c>
      <c r="C13" s="157"/>
      <c r="D13" s="157"/>
      <c r="E13" s="153"/>
    </row>
    <row r="14" spans="2:6" ht="20.100000000000001" customHeight="1">
      <c r="B14" s="157" t="s">
        <v>428</v>
      </c>
      <c r="C14" s="157"/>
      <c r="D14" s="157"/>
      <c r="E14" s="153"/>
    </row>
    <row r="15" spans="2:6" ht="20.100000000000001" customHeight="1">
      <c r="B15" s="157" t="s">
        <v>429</v>
      </c>
      <c r="C15" s="157"/>
      <c r="D15" s="157"/>
      <c r="E15" s="153"/>
    </row>
    <row r="16" spans="2:6" ht="20.100000000000001" customHeight="1">
      <c r="B16" s="157" t="s">
        <v>430</v>
      </c>
      <c r="C16" s="157"/>
      <c r="D16" s="157"/>
      <c r="E16" s="153"/>
    </row>
    <row r="17" spans="2:6" ht="20.100000000000001" customHeight="1">
      <c r="B17" s="157" t="s">
        <v>431</v>
      </c>
      <c r="C17" s="157"/>
      <c r="D17" s="157"/>
      <c r="E17" s="153"/>
    </row>
    <row r="18" spans="2:6" ht="20.100000000000001" customHeight="1">
      <c r="B18" s="157" t="s">
        <v>432</v>
      </c>
      <c r="C18" s="157"/>
      <c r="D18" s="157"/>
      <c r="E18" s="153"/>
    </row>
    <row r="19" spans="2:6" ht="20.100000000000001" customHeight="1">
      <c r="B19" s="157" t="s">
        <v>433</v>
      </c>
      <c r="C19" s="157"/>
      <c r="D19" s="157"/>
      <c r="E19" s="153"/>
    </row>
    <row r="20" spans="2:6" ht="20.100000000000001" customHeight="1">
      <c r="B20" s="156" t="s">
        <v>535</v>
      </c>
      <c r="C20" s="159">
        <v>80</v>
      </c>
      <c r="D20" s="159">
        <v>89</v>
      </c>
      <c r="E20" s="159">
        <v>94</v>
      </c>
      <c r="F20" s="159"/>
    </row>
    <row r="21" spans="2:6" ht="20.100000000000001" customHeight="1">
      <c r="B21" s="154" t="s">
        <v>414</v>
      </c>
      <c r="C21" s="154"/>
      <c r="D21" s="154"/>
      <c r="E21" s="153"/>
    </row>
    <row r="22" spans="2:6" ht="20.100000000000001" customHeight="1">
      <c r="B22" s="154" t="s">
        <v>415</v>
      </c>
      <c r="C22" s="154"/>
      <c r="D22" s="154"/>
      <c r="E22" s="153"/>
    </row>
    <row r="23" spans="2:6" ht="20.100000000000001" customHeight="1">
      <c r="B23" s="154" t="s">
        <v>416</v>
      </c>
      <c r="C23" s="154"/>
      <c r="D23" s="154"/>
      <c r="E23" s="153"/>
    </row>
    <row r="24" spans="2:6" ht="20.100000000000001" customHeight="1">
      <c r="B24" s="154" t="s">
        <v>413</v>
      </c>
      <c r="C24" s="154"/>
      <c r="D24" s="154"/>
      <c r="E24" s="153"/>
    </row>
    <row r="25" spans="2:6" ht="20.100000000000001" customHeight="1">
      <c r="B25" s="156" t="s">
        <v>417</v>
      </c>
      <c r="C25" s="156"/>
      <c r="D25" s="156"/>
      <c r="E25" s="153"/>
    </row>
    <row r="26" spans="2:6" ht="20.100000000000001" customHeight="1">
      <c r="B26" s="156" t="s">
        <v>536</v>
      </c>
      <c r="C26" s="159">
        <v>127</v>
      </c>
      <c r="D26" s="159">
        <v>141</v>
      </c>
      <c r="E26" s="159">
        <v>149</v>
      </c>
      <c r="F26" s="159"/>
    </row>
    <row r="27" spans="2:6" ht="20.100000000000001" customHeight="1">
      <c r="B27" s="157" t="s">
        <v>434</v>
      </c>
      <c r="C27" s="157"/>
      <c r="D27" s="157"/>
      <c r="E27" s="153"/>
    </row>
    <row r="28" spans="2:6" ht="20.100000000000001" customHeight="1">
      <c r="B28" s="157" t="s">
        <v>435</v>
      </c>
      <c r="C28" s="157"/>
      <c r="D28" s="157"/>
      <c r="E28" s="153"/>
    </row>
    <row r="29" spans="2:6" ht="20.100000000000001" customHeight="1">
      <c r="B29" s="157" t="s">
        <v>436</v>
      </c>
      <c r="C29" s="157"/>
      <c r="D29" s="157"/>
      <c r="E29" s="153"/>
    </row>
    <row r="30" spans="2:6" ht="20.100000000000001" customHeight="1">
      <c r="B30" s="157" t="s">
        <v>433</v>
      </c>
      <c r="C30" s="157"/>
      <c r="D30" s="157"/>
      <c r="E30" s="153"/>
    </row>
    <row r="31" spans="2:6" ht="20.100000000000001" customHeight="1">
      <c r="B31" s="156" t="s">
        <v>537</v>
      </c>
      <c r="C31" s="159">
        <v>173</v>
      </c>
      <c r="D31" s="159">
        <v>193</v>
      </c>
      <c r="E31" s="159">
        <v>205</v>
      </c>
      <c r="F31" s="159"/>
    </row>
    <row r="32" spans="2:6" ht="20.100000000000001" customHeight="1">
      <c r="B32" s="157" t="s">
        <v>437</v>
      </c>
      <c r="C32" s="157"/>
      <c r="D32" s="157"/>
      <c r="E32" s="153"/>
    </row>
    <row r="33" spans="2:6" ht="20.100000000000001" customHeight="1">
      <c r="B33" s="157" t="s">
        <v>438</v>
      </c>
      <c r="C33" s="157"/>
      <c r="D33" s="157"/>
      <c r="E33" s="153"/>
    </row>
    <row r="34" spans="2:6" ht="20.100000000000001" customHeight="1">
      <c r="B34" s="157" t="s">
        <v>439</v>
      </c>
      <c r="C34" s="157"/>
      <c r="D34" s="157"/>
      <c r="E34" s="153"/>
    </row>
    <row r="35" spans="2:6" ht="20.100000000000001" customHeight="1">
      <c r="B35" s="157" t="s">
        <v>440</v>
      </c>
      <c r="C35" s="157"/>
      <c r="D35" s="157"/>
      <c r="E35" s="153"/>
    </row>
    <row r="36" spans="2:6" ht="20.100000000000001" customHeight="1">
      <c r="B36" s="157" t="s">
        <v>441</v>
      </c>
      <c r="C36" s="157"/>
      <c r="D36" s="157"/>
      <c r="E36" s="153"/>
    </row>
    <row r="37" spans="2:6" ht="20.100000000000001" customHeight="1">
      <c r="B37" s="157" t="s">
        <v>442</v>
      </c>
      <c r="C37" s="157"/>
      <c r="D37" s="157"/>
      <c r="E37" s="153"/>
    </row>
    <row r="38" spans="2:6" ht="20.100000000000001" customHeight="1">
      <c r="B38" s="157" t="s">
        <v>443</v>
      </c>
      <c r="C38" s="157"/>
      <c r="D38" s="157"/>
      <c r="E38" s="153"/>
    </row>
    <row r="39" spans="2:6" ht="20.100000000000001" customHeight="1">
      <c r="B39" s="157" t="s">
        <v>444</v>
      </c>
      <c r="C39" s="157"/>
      <c r="D39" s="157"/>
      <c r="E39" s="153"/>
    </row>
    <row r="40" spans="2:6" ht="20.100000000000001" customHeight="1">
      <c r="B40" s="157" t="s">
        <v>445</v>
      </c>
      <c r="C40" s="157"/>
      <c r="D40" s="157"/>
      <c r="E40" s="153"/>
    </row>
    <row r="41" spans="2:6" ht="20.100000000000001" customHeight="1">
      <c r="B41" s="157" t="s">
        <v>433</v>
      </c>
      <c r="C41" s="157"/>
      <c r="D41" s="157"/>
      <c r="E41" s="153"/>
    </row>
    <row r="42" spans="2:6" ht="20.100000000000001" customHeight="1">
      <c r="B42" s="156" t="s">
        <v>418</v>
      </c>
      <c r="C42" s="156"/>
      <c r="D42" s="156"/>
      <c r="E42" s="153"/>
    </row>
    <row r="43" spans="2:6" ht="20.100000000000001" customHeight="1">
      <c r="B43" s="156" t="s">
        <v>538</v>
      </c>
      <c r="C43" s="159">
        <v>283</v>
      </c>
      <c r="D43" s="159">
        <v>315</v>
      </c>
      <c r="E43" s="159">
        <v>334</v>
      </c>
      <c r="F43" s="159"/>
    </row>
    <row r="44" spans="2:6" ht="20.100000000000001" customHeight="1">
      <c r="B44" s="157" t="s">
        <v>446</v>
      </c>
      <c r="C44" s="157"/>
      <c r="D44" s="157"/>
      <c r="E44" s="153"/>
    </row>
    <row r="45" spans="2:6" ht="20.100000000000001" customHeight="1">
      <c r="B45" s="157" t="s">
        <v>447</v>
      </c>
      <c r="C45" s="157"/>
      <c r="D45" s="157"/>
      <c r="E45" s="153"/>
    </row>
    <row r="46" spans="2:6" ht="20.100000000000001" customHeight="1">
      <c r="B46" s="157" t="s">
        <v>448</v>
      </c>
      <c r="C46" s="157"/>
      <c r="D46" s="157"/>
      <c r="E46" s="153"/>
    </row>
    <row r="47" spans="2:6" ht="20.100000000000001" customHeight="1">
      <c r="B47" s="157" t="s">
        <v>449</v>
      </c>
      <c r="C47" s="157"/>
      <c r="D47" s="157"/>
      <c r="E47" s="153"/>
    </row>
    <row r="48" spans="2:6" ht="20.100000000000001" customHeight="1">
      <c r="B48" s="157" t="s">
        <v>450</v>
      </c>
      <c r="C48" s="157"/>
      <c r="D48" s="157"/>
      <c r="E48" s="153"/>
    </row>
    <row r="49" spans="2:6" ht="20.100000000000001" customHeight="1">
      <c r="B49" s="157" t="s">
        <v>451</v>
      </c>
      <c r="C49" s="157"/>
      <c r="D49" s="157"/>
      <c r="E49" s="153"/>
    </row>
    <row r="50" spans="2:6" ht="20.100000000000001" customHeight="1">
      <c r="B50" s="157" t="s">
        <v>452</v>
      </c>
      <c r="C50" s="157"/>
      <c r="D50" s="157"/>
      <c r="E50" s="153"/>
    </row>
    <row r="51" spans="2:6" ht="20.100000000000001" customHeight="1">
      <c r="B51" s="157" t="s">
        <v>453</v>
      </c>
      <c r="C51" s="157"/>
      <c r="D51" s="157"/>
      <c r="E51" s="153"/>
    </row>
    <row r="52" spans="2:6" ht="20.100000000000001" customHeight="1">
      <c r="B52" s="157" t="s">
        <v>454</v>
      </c>
      <c r="C52" s="157"/>
      <c r="D52" s="157"/>
      <c r="E52" s="153"/>
    </row>
    <row r="53" spans="2:6" ht="20.100000000000001" customHeight="1">
      <c r="B53" s="157" t="s">
        <v>455</v>
      </c>
      <c r="C53" s="157"/>
      <c r="D53" s="157"/>
      <c r="E53" s="153"/>
    </row>
    <row r="54" spans="2:6" ht="20.100000000000001" customHeight="1">
      <c r="B54" s="157" t="s">
        <v>456</v>
      </c>
      <c r="C54" s="157"/>
      <c r="D54" s="157"/>
      <c r="E54" s="153"/>
    </row>
    <row r="55" spans="2:6" ht="20.100000000000001" customHeight="1">
      <c r="B55" s="157" t="s">
        <v>457</v>
      </c>
      <c r="C55" s="157"/>
      <c r="D55" s="157"/>
      <c r="E55" s="153"/>
    </row>
    <row r="56" spans="2:6" ht="20.100000000000001" customHeight="1">
      <c r="B56" s="157" t="s">
        <v>458</v>
      </c>
      <c r="C56" s="157"/>
      <c r="D56" s="157"/>
      <c r="E56" s="153"/>
    </row>
    <row r="57" spans="2:6" ht="20.100000000000001" customHeight="1">
      <c r="B57" s="156" t="s">
        <v>539</v>
      </c>
      <c r="C57" s="159">
        <v>322</v>
      </c>
      <c r="D57" s="159">
        <v>359</v>
      </c>
      <c r="E57" s="159">
        <v>381</v>
      </c>
      <c r="F57" s="159"/>
    </row>
    <row r="58" spans="2:6" ht="20.100000000000001" customHeight="1">
      <c r="B58" s="157" t="s">
        <v>460</v>
      </c>
      <c r="C58" s="157"/>
      <c r="D58" s="157"/>
      <c r="E58" s="153"/>
    </row>
    <row r="59" spans="2:6" ht="20.100000000000001" customHeight="1">
      <c r="B59" s="157" t="s">
        <v>461</v>
      </c>
      <c r="C59" s="157"/>
      <c r="D59" s="157"/>
      <c r="E59" s="153"/>
    </row>
    <row r="60" spans="2:6" ht="20.100000000000001" customHeight="1">
      <c r="B60" s="157" t="s">
        <v>462</v>
      </c>
      <c r="C60" s="157"/>
      <c r="D60" s="157"/>
      <c r="E60" s="153"/>
    </row>
    <row r="61" spans="2:6" ht="20.100000000000001" customHeight="1">
      <c r="B61" s="157" t="s">
        <v>463</v>
      </c>
      <c r="C61" s="157"/>
      <c r="D61" s="157"/>
      <c r="E61" s="153"/>
    </row>
    <row r="62" spans="2:6" ht="20.100000000000001" customHeight="1">
      <c r="B62" s="157" t="s">
        <v>464</v>
      </c>
      <c r="C62" s="157"/>
      <c r="D62" s="157"/>
      <c r="E62" s="153"/>
    </row>
    <row r="63" spans="2:6" ht="20.100000000000001" customHeight="1">
      <c r="B63" s="157" t="s">
        <v>465</v>
      </c>
      <c r="C63" s="157"/>
      <c r="D63" s="157"/>
      <c r="E63" s="153"/>
    </row>
    <row r="64" spans="2:6" ht="20.100000000000001" customHeight="1">
      <c r="B64" s="157" t="s">
        <v>466</v>
      </c>
      <c r="C64" s="157"/>
      <c r="D64" s="157"/>
      <c r="E64" s="153"/>
    </row>
    <row r="65" spans="2:5" ht="20.100000000000001" customHeight="1">
      <c r="B65" s="157" t="s">
        <v>467</v>
      </c>
      <c r="C65" s="157"/>
      <c r="D65" s="157"/>
      <c r="E65" s="153"/>
    </row>
    <row r="66" spans="2:5" ht="20.100000000000001" customHeight="1">
      <c r="B66" s="157" t="s">
        <v>468</v>
      </c>
      <c r="C66" s="157"/>
      <c r="D66" s="157"/>
      <c r="E66" s="153"/>
    </row>
    <row r="67" spans="2:5" ht="20.100000000000001" customHeight="1">
      <c r="B67" s="157" t="s">
        <v>469</v>
      </c>
      <c r="C67" s="157"/>
      <c r="D67" s="157"/>
      <c r="E67" s="153"/>
    </row>
    <row r="68" spans="2:5" ht="20.100000000000001" customHeight="1">
      <c r="B68" s="157" t="s">
        <v>470</v>
      </c>
      <c r="C68" s="157"/>
      <c r="D68" s="157"/>
      <c r="E68" s="153"/>
    </row>
    <row r="69" spans="2:5" ht="20.100000000000001" customHeight="1">
      <c r="B69" s="157" t="s">
        <v>471</v>
      </c>
      <c r="C69" s="157"/>
      <c r="D69" s="157"/>
      <c r="E69" s="153"/>
    </row>
    <row r="70" spans="2:5" ht="20.100000000000001" customHeight="1">
      <c r="B70" s="157" t="s">
        <v>472</v>
      </c>
      <c r="C70" s="157"/>
      <c r="D70" s="157"/>
      <c r="E70" s="153"/>
    </row>
    <row r="71" spans="2:5" ht="20.100000000000001" customHeight="1">
      <c r="B71" s="157" t="s">
        <v>473</v>
      </c>
      <c r="C71" s="157"/>
      <c r="D71" s="157"/>
      <c r="E71" s="153"/>
    </row>
    <row r="72" spans="2:5" ht="20.100000000000001" customHeight="1">
      <c r="B72" s="157" t="s">
        <v>474</v>
      </c>
      <c r="C72" s="157"/>
      <c r="D72" s="157"/>
      <c r="E72" s="153"/>
    </row>
    <row r="73" spans="2:5" ht="20.100000000000001" customHeight="1">
      <c r="B73" s="157" t="s">
        <v>475</v>
      </c>
      <c r="C73" s="157"/>
      <c r="D73" s="157"/>
      <c r="E73" s="153"/>
    </row>
    <row r="74" spans="2:5" ht="20.100000000000001" customHeight="1">
      <c r="B74" s="157" t="s">
        <v>476</v>
      </c>
      <c r="C74" s="157"/>
      <c r="D74" s="157"/>
      <c r="E74" s="153"/>
    </row>
    <row r="75" spans="2:5" ht="20.100000000000001" customHeight="1">
      <c r="B75" s="157" t="s">
        <v>477</v>
      </c>
      <c r="C75" s="157"/>
      <c r="D75" s="157"/>
      <c r="E75" s="153"/>
    </row>
    <row r="76" spans="2:5" ht="20.100000000000001" customHeight="1">
      <c r="B76" s="157" t="s">
        <v>478</v>
      </c>
      <c r="C76" s="157"/>
      <c r="D76" s="157"/>
      <c r="E76" s="153"/>
    </row>
    <row r="77" spans="2:5" ht="20.100000000000001" customHeight="1">
      <c r="B77" s="157" t="s">
        <v>479</v>
      </c>
      <c r="C77" s="157"/>
      <c r="D77" s="157"/>
      <c r="E77" s="153"/>
    </row>
    <row r="78" spans="2:5" ht="20.100000000000001" customHeight="1">
      <c r="B78" s="157" t="s">
        <v>480</v>
      </c>
      <c r="C78" s="157"/>
      <c r="D78" s="157"/>
      <c r="E78" s="153"/>
    </row>
    <row r="79" spans="2:5" ht="20.100000000000001" customHeight="1">
      <c r="B79" s="157" t="s">
        <v>481</v>
      </c>
      <c r="C79" s="157"/>
      <c r="D79" s="157"/>
      <c r="E79" s="153"/>
    </row>
    <row r="80" spans="2:5" ht="20.100000000000001" customHeight="1">
      <c r="B80" s="157" t="s">
        <v>482</v>
      </c>
      <c r="C80" s="157"/>
      <c r="D80" s="157"/>
      <c r="E80" s="153"/>
    </row>
    <row r="81" spans="2:6" ht="20.100000000000001" customHeight="1">
      <c r="B81" s="157" t="s">
        <v>458</v>
      </c>
      <c r="C81" s="157"/>
      <c r="D81" s="157"/>
      <c r="E81" s="153"/>
    </row>
    <row r="82" spans="2:6" ht="20.100000000000001" customHeight="1">
      <c r="B82" s="156" t="s">
        <v>419</v>
      </c>
      <c r="C82" s="156"/>
      <c r="D82" s="156"/>
      <c r="E82" s="153"/>
    </row>
    <row r="83" spans="2:6" ht="20.100000000000001" customHeight="1">
      <c r="B83" s="156" t="s">
        <v>540</v>
      </c>
      <c r="C83" s="159">
        <v>364</v>
      </c>
      <c r="D83" s="159">
        <v>406</v>
      </c>
      <c r="E83" s="159">
        <v>430</v>
      </c>
      <c r="F83" s="159"/>
    </row>
    <row r="84" spans="2:6" ht="20.100000000000001" customHeight="1">
      <c r="B84" s="157" t="s">
        <v>483</v>
      </c>
      <c r="C84" s="157"/>
      <c r="D84" s="157"/>
      <c r="E84" s="153"/>
    </row>
    <row r="85" spans="2:6" ht="20.100000000000001" customHeight="1">
      <c r="B85" s="157" t="s">
        <v>484</v>
      </c>
      <c r="C85" s="157"/>
      <c r="D85" s="157"/>
      <c r="E85" s="153"/>
    </row>
    <row r="86" spans="2:6" ht="20.100000000000001" customHeight="1">
      <c r="B86" s="157" t="s">
        <v>485</v>
      </c>
      <c r="C86" s="157"/>
      <c r="D86" s="157"/>
      <c r="E86" s="153"/>
    </row>
    <row r="87" spans="2:6" ht="20.100000000000001" customHeight="1">
      <c r="B87" s="157" t="s">
        <v>486</v>
      </c>
      <c r="C87" s="157"/>
      <c r="D87" s="157"/>
      <c r="E87" s="153"/>
    </row>
    <row r="88" spans="2:6" ht="20.100000000000001" customHeight="1">
      <c r="B88" s="157" t="s">
        <v>487</v>
      </c>
      <c r="C88" s="157"/>
      <c r="D88" s="157"/>
      <c r="E88" s="153"/>
    </row>
    <row r="89" spans="2:6" ht="20.100000000000001" customHeight="1">
      <c r="B89" s="157" t="s">
        <v>488</v>
      </c>
      <c r="C89" s="157"/>
      <c r="D89" s="157"/>
      <c r="E89" s="153"/>
    </row>
    <row r="90" spans="2:6" ht="20.100000000000001" customHeight="1">
      <c r="B90" s="157" t="s">
        <v>489</v>
      </c>
      <c r="C90" s="157"/>
      <c r="D90" s="157"/>
      <c r="E90" s="153"/>
    </row>
    <row r="91" spans="2:6" ht="20.100000000000001" customHeight="1">
      <c r="B91" s="157" t="s">
        <v>490</v>
      </c>
      <c r="C91" s="157"/>
      <c r="D91" s="157"/>
      <c r="E91" s="153"/>
    </row>
    <row r="92" spans="2:6" ht="20.100000000000001" customHeight="1">
      <c r="B92" s="157" t="s">
        <v>491</v>
      </c>
      <c r="C92" s="157"/>
      <c r="D92" s="157"/>
      <c r="E92" s="153"/>
    </row>
    <row r="93" spans="2:6" ht="20.100000000000001" customHeight="1">
      <c r="B93" s="157" t="s">
        <v>492</v>
      </c>
      <c r="C93" s="157"/>
      <c r="D93" s="157"/>
      <c r="E93" s="153"/>
    </row>
    <row r="94" spans="2:6" ht="20.100000000000001" customHeight="1">
      <c r="B94" s="157" t="s">
        <v>493</v>
      </c>
      <c r="C94" s="157"/>
      <c r="D94" s="157"/>
      <c r="E94" s="153"/>
    </row>
    <row r="95" spans="2:6" ht="20.100000000000001" customHeight="1">
      <c r="B95" s="157" t="s">
        <v>494</v>
      </c>
      <c r="C95" s="157"/>
      <c r="D95" s="157"/>
      <c r="E95" s="153"/>
    </row>
    <row r="96" spans="2:6" ht="20.100000000000001" customHeight="1">
      <c r="B96" s="157" t="s">
        <v>495</v>
      </c>
      <c r="C96" s="157"/>
      <c r="D96" s="157"/>
      <c r="E96" s="153"/>
    </row>
    <row r="97" spans="2:6" ht="20.100000000000001" customHeight="1">
      <c r="B97" s="157" t="s">
        <v>496</v>
      </c>
      <c r="C97" s="157"/>
      <c r="D97" s="157"/>
      <c r="E97" s="153"/>
    </row>
    <row r="98" spans="2:6" ht="20.100000000000001" customHeight="1">
      <c r="B98" s="157" t="s">
        <v>497</v>
      </c>
      <c r="C98" s="157"/>
      <c r="D98" s="157"/>
      <c r="E98" s="153"/>
    </row>
    <row r="99" spans="2:6" ht="20.100000000000001" customHeight="1">
      <c r="B99" s="157" t="s">
        <v>433</v>
      </c>
      <c r="C99" s="157"/>
      <c r="D99" s="157"/>
      <c r="E99" s="153"/>
    </row>
    <row r="100" spans="2:6" ht="20.100000000000001" customHeight="1">
      <c r="B100" s="156" t="s">
        <v>541</v>
      </c>
      <c r="C100" s="159">
        <v>402</v>
      </c>
      <c r="D100" s="159">
        <v>448</v>
      </c>
      <c r="E100" s="159">
        <v>475</v>
      </c>
      <c r="F100" s="159"/>
    </row>
    <row r="101" spans="2:6" ht="20.100000000000001" customHeight="1">
      <c r="B101" s="157" t="s">
        <v>498</v>
      </c>
      <c r="C101" s="157"/>
      <c r="D101" s="157"/>
      <c r="E101" s="153"/>
    </row>
    <row r="102" spans="2:6" ht="20.100000000000001" customHeight="1">
      <c r="B102" s="157" t="s">
        <v>499</v>
      </c>
      <c r="C102" s="157"/>
      <c r="D102" s="157"/>
      <c r="E102" s="153"/>
    </row>
    <row r="103" spans="2:6" ht="20.100000000000001" customHeight="1">
      <c r="B103" s="157" t="s">
        <v>500</v>
      </c>
      <c r="C103" s="157"/>
      <c r="D103" s="157"/>
      <c r="E103" s="153"/>
    </row>
    <row r="104" spans="2:6" ht="20.100000000000001" customHeight="1">
      <c r="B104" s="157" t="s">
        <v>501</v>
      </c>
      <c r="C104" s="157"/>
      <c r="D104" s="157"/>
      <c r="E104" s="153"/>
    </row>
    <row r="105" spans="2:6" ht="20.100000000000001" customHeight="1">
      <c r="B105" s="157" t="s">
        <v>502</v>
      </c>
      <c r="C105" s="157"/>
      <c r="D105" s="157"/>
      <c r="E105" s="153"/>
    </row>
    <row r="106" spans="2:6" ht="20.100000000000001" customHeight="1">
      <c r="B106" s="157" t="s">
        <v>503</v>
      </c>
      <c r="C106" s="157"/>
      <c r="D106" s="157"/>
      <c r="E106" s="153"/>
    </row>
    <row r="107" spans="2:6" ht="20.100000000000001" customHeight="1">
      <c r="B107" s="157" t="s">
        <v>504</v>
      </c>
      <c r="C107" s="157"/>
      <c r="D107" s="157"/>
      <c r="E107" s="153"/>
    </row>
    <row r="108" spans="2:6" ht="20.100000000000001" customHeight="1">
      <c r="B108" s="157" t="s">
        <v>505</v>
      </c>
      <c r="C108" s="157"/>
      <c r="D108" s="157"/>
      <c r="E108" s="153"/>
    </row>
    <row r="109" spans="2:6" ht="20.100000000000001" customHeight="1">
      <c r="B109" s="157" t="s">
        <v>506</v>
      </c>
      <c r="C109" s="157"/>
      <c r="D109" s="157"/>
      <c r="E109" s="153"/>
    </row>
    <row r="110" spans="2:6" ht="20.100000000000001" customHeight="1">
      <c r="B110" s="157" t="s">
        <v>507</v>
      </c>
      <c r="C110" s="157"/>
      <c r="D110" s="157"/>
      <c r="E110" s="153"/>
    </row>
    <row r="111" spans="2:6" ht="20.100000000000001" customHeight="1">
      <c r="B111" s="157" t="s">
        <v>508</v>
      </c>
      <c r="C111" s="157"/>
      <c r="D111" s="157"/>
      <c r="E111" s="153"/>
    </row>
    <row r="112" spans="2:6" ht="20.100000000000001" customHeight="1">
      <c r="B112" s="157" t="s">
        <v>509</v>
      </c>
      <c r="C112" s="157"/>
      <c r="D112" s="157"/>
      <c r="E112" s="153"/>
    </row>
    <row r="113" spans="2:6" ht="20.100000000000001" customHeight="1">
      <c r="B113" s="157" t="s">
        <v>458</v>
      </c>
      <c r="C113" s="157"/>
      <c r="D113" s="157"/>
      <c r="E113" s="153"/>
    </row>
    <row r="114" spans="2:6" ht="20.100000000000001" customHeight="1">
      <c r="B114" s="156" t="s">
        <v>542</v>
      </c>
      <c r="C114" s="159">
        <v>483</v>
      </c>
      <c r="D114" s="159">
        <v>539</v>
      </c>
      <c r="E114" s="159">
        <v>571</v>
      </c>
      <c r="F114" s="159"/>
    </row>
    <row r="115" spans="2:6" ht="20.100000000000001" customHeight="1">
      <c r="B115" s="157" t="s">
        <v>510</v>
      </c>
      <c r="C115" s="157"/>
      <c r="D115" s="157"/>
      <c r="E115" s="153"/>
    </row>
    <row r="116" spans="2:6" ht="20.100000000000001" customHeight="1">
      <c r="B116" s="157" t="s">
        <v>511</v>
      </c>
      <c r="C116" s="157"/>
      <c r="D116" s="157"/>
      <c r="E116" s="153"/>
    </row>
    <row r="117" spans="2:6" ht="20.100000000000001" customHeight="1">
      <c r="B117" s="157" t="s">
        <v>512</v>
      </c>
      <c r="C117" s="157"/>
      <c r="D117" s="157"/>
      <c r="E117" s="153"/>
    </row>
    <row r="118" spans="2:6" ht="20.100000000000001" customHeight="1">
      <c r="B118" s="157" t="s">
        <v>513</v>
      </c>
      <c r="C118" s="157"/>
      <c r="D118" s="157"/>
      <c r="E118" s="153"/>
    </row>
    <row r="119" spans="2:6" ht="20.100000000000001" customHeight="1">
      <c r="B119" s="157" t="s">
        <v>514</v>
      </c>
      <c r="C119" s="157"/>
      <c r="D119" s="157"/>
      <c r="E119" s="153"/>
    </row>
    <row r="120" spans="2:6" ht="20.100000000000001" customHeight="1">
      <c r="B120" s="157" t="s">
        <v>515</v>
      </c>
      <c r="C120" s="157"/>
      <c r="D120" s="157"/>
      <c r="E120" s="153"/>
    </row>
    <row r="121" spans="2:6" ht="20.100000000000001" customHeight="1">
      <c r="B121" s="157" t="s">
        <v>458</v>
      </c>
      <c r="C121" s="157"/>
      <c r="D121" s="157"/>
      <c r="E121" s="153"/>
    </row>
    <row r="122" spans="2:6" ht="20.100000000000001" customHeight="1">
      <c r="B122" s="156" t="s">
        <v>420</v>
      </c>
      <c r="C122" s="156"/>
      <c r="D122" s="156"/>
      <c r="E122" s="153"/>
    </row>
    <row r="123" spans="2:6" ht="20.100000000000001" customHeight="1">
      <c r="B123" s="156" t="s">
        <v>543</v>
      </c>
      <c r="C123" s="159">
        <v>599</v>
      </c>
      <c r="D123" s="159">
        <v>668</v>
      </c>
      <c r="E123" s="159">
        <v>708</v>
      </c>
      <c r="F123" s="159"/>
    </row>
    <row r="124" spans="2:6" ht="20.100000000000001" customHeight="1">
      <c r="B124" s="157" t="s">
        <v>516</v>
      </c>
      <c r="C124" s="157"/>
      <c r="D124" s="157"/>
      <c r="E124" s="153"/>
    </row>
    <row r="125" spans="2:6" ht="20.100000000000001" customHeight="1">
      <c r="B125" s="157" t="s">
        <v>517</v>
      </c>
      <c r="C125" s="157"/>
      <c r="D125" s="157"/>
      <c r="E125" s="153"/>
    </row>
    <row r="126" spans="2:6" ht="20.100000000000001" customHeight="1">
      <c r="B126" s="157" t="s">
        <v>518</v>
      </c>
      <c r="C126" s="157"/>
      <c r="D126" s="157"/>
      <c r="E126" s="153"/>
    </row>
    <row r="127" spans="2:6" ht="20.100000000000001" customHeight="1">
      <c r="B127" s="157" t="s">
        <v>519</v>
      </c>
      <c r="C127" s="157"/>
      <c r="D127" s="157"/>
      <c r="E127" s="153"/>
    </row>
    <row r="128" spans="2:6" ht="20.100000000000001" customHeight="1">
      <c r="B128" s="157" t="s">
        <v>520</v>
      </c>
      <c r="C128" s="157"/>
      <c r="D128" s="157"/>
      <c r="E128" s="153"/>
    </row>
    <row r="129" spans="2:6" ht="20.100000000000001" customHeight="1">
      <c r="B129" s="157" t="s">
        <v>521</v>
      </c>
      <c r="C129" s="157"/>
      <c r="D129" s="157"/>
      <c r="E129" s="153"/>
    </row>
    <row r="130" spans="2:6" ht="20.100000000000001" customHeight="1">
      <c r="B130" s="157" t="s">
        <v>433</v>
      </c>
      <c r="C130" s="157"/>
      <c r="D130" s="157"/>
      <c r="E130" s="153"/>
    </row>
    <row r="131" spans="2:6" ht="20.100000000000001" customHeight="1">
      <c r="B131" s="156" t="s">
        <v>544</v>
      </c>
      <c r="C131" s="159">
        <v>725</v>
      </c>
      <c r="D131" s="159">
        <v>809</v>
      </c>
      <c r="E131" s="159">
        <v>858</v>
      </c>
      <c r="F131" s="159"/>
    </row>
    <row r="132" spans="2:6" ht="20.100000000000001" customHeight="1">
      <c r="B132" s="157" t="s">
        <v>522</v>
      </c>
      <c r="C132" s="157"/>
      <c r="D132" s="157"/>
      <c r="E132" s="153"/>
    </row>
    <row r="133" spans="2:6" ht="20.100000000000001" customHeight="1">
      <c r="B133" s="157" t="s">
        <v>523</v>
      </c>
      <c r="C133" s="157"/>
      <c r="D133" s="157"/>
      <c r="E133" s="153"/>
    </row>
    <row r="134" spans="2:6" ht="20.100000000000001" customHeight="1">
      <c r="B134" s="157" t="s">
        <v>524</v>
      </c>
      <c r="C134" s="157"/>
      <c r="D134" s="157"/>
      <c r="E134" s="153"/>
    </row>
    <row r="135" spans="2:6" ht="20.100000000000001" customHeight="1">
      <c r="B135" s="157" t="s">
        <v>525</v>
      </c>
      <c r="C135" s="157"/>
      <c r="D135" s="157"/>
      <c r="E135" s="153"/>
    </row>
    <row r="136" spans="2:6" ht="20.100000000000001" customHeight="1">
      <c r="B136" s="157" t="s">
        <v>526</v>
      </c>
      <c r="C136" s="157"/>
      <c r="D136" s="157"/>
      <c r="E136" s="153"/>
    </row>
    <row r="137" spans="2:6" ht="20.100000000000001" customHeight="1">
      <c r="B137" s="157" t="s">
        <v>527</v>
      </c>
      <c r="C137" s="157"/>
      <c r="D137" s="157"/>
      <c r="E137" s="153"/>
    </row>
    <row r="138" spans="2:6" ht="20.100000000000001" customHeight="1">
      <c r="B138" s="157" t="s">
        <v>458</v>
      </c>
      <c r="C138" s="157"/>
      <c r="D138" s="157"/>
      <c r="E138" s="153"/>
    </row>
    <row r="139" spans="2:6" ht="20.100000000000001" customHeight="1">
      <c r="B139" s="156" t="s">
        <v>545</v>
      </c>
      <c r="C139" s="159">
        <v>828</v>
      </c>
      <c r="D139" s="159">
        <v>924</v>
      </c>
      <c r="E139" s="159">
        <v>979</v>
      </c>
      <c r="F139" s="159"/>
    </row>
    <row r="140" spans="2:6" ht="20.100000000000001" customHeight="1">
      <c r="B140" s="157" t="s">
        <v>528</v>
      </c>
      <c r="C140" s="157"/>
      <c r="D140" s="157"/>
      <c r="E140" s="153"/>
    </row>
    <row r="141" spans="2:6" ht="20.100000000000001" customHeight="1">
      <c r="B141" s="157" t="s">
        <v>529</v>
      </c>
      <c r="C141" s="157"/>
      <c r="D141" s="157"/>
      <c r="E141" s="153"/>
    </row>
    <row r="142" spans="2:6" ht="20.100000000000001" customHeight="1">
      <c r="B142" s="157" t="s">
        <v>530</v>
      </c>
      <c r="C142" s="157"/>
      <c r="D142" s="157"/>
      <c r="E142" s="153"/>
    </row>
    <row r="143" spans="2:6" ht="20.100000000000001" customHeight="1">
      <c r="B143" s="157" t="s">
        <v>458</v>
      </c>
      <c r="C143" s="157"/>
      <c r="D143" s="157"/>
      <c r="E143" s="153"/>
    </row>
    <row r="144" spans="2:6" ht="20.100000000000001" customHeight="1">
      <c r="B144" s="156" t="s">
        <v>546</v>
      </c>
      <c r="C144" s="159">
        <v>989</v>
      </c>
      <c r="D144" s="159">
        <v>1103</v>
      </c>
      <c r="E144" s="159">
        <v>1169</v>
      </c>
      <c r="F144" s="159"/>
    </row>
    <row r="145" spans="2:5" ht="20.100000000000001" customHeight="1">
      <c r="B145" s="157" t="s">
        <v>531</v>
      </c>
      <c r="C145" s="157"/>
      <c r="D145" s="157"/>
      <c r="E145" s="153"/>
    </row>
    <row r="146" spans="2:5" ht="20.100000000000001" customHeight="1">
      <c r="B146" s="157" t="s">
        <v>532</v>
      </c>
      <c r="C146" s="157"/>
      <c r="D146" s="157"/>
      <c r="E146" s="153"/>
    </row>
    <row r="147" spans="2:5" ht="20.100000000000001" customHeight="1">
      <c r="B147" s="157" t="s">
        <v>458</v>
      </c>
      <c r="C147" s="157"/>
      <c r="D147" s="157"/>
      <c r="E147" s="153"/>
    </row>
    <row r="148" spans="2:5" ht="20.100000000000001" customHeight="1">
      <c r="B148" s="154"/>
      <c r="C148" s="154"/>
      <c r="D148" s="154"/>
      <c r="E148" s="153"/>
    </row>
    <row r="149" spans="2:5" ht="20.100000000000001" customHeight="1">
      <c r="B149" s="154" t="s">
        <v>459</v>
      </c>
      <c r="C149" s="154"/>
      <c r="D149" s="154"/>
      <c r="E149" s="153"/>
    </row>
    <row r="150" spans="2:5" ht="20.100000000000001" customHeight="1">
      <c r="B150" s="556" t="s">
        <v>533</v>
      </c>
      <c r="C150" s="556"/>
      <c r="D150" s="556"/>
      <c r="E150" s="556"/>
    </row>
    <row r="151" spans="2:5" ht="45" customHeight="1">
      <c r="B151" s="554" t="s">
        <v>534</v>
      </c>
      <c r="C151" s="554"/>
      <c r="D151" s="554"/>
      <c r="E151" s="554"/>
    </row>
  </sheetData>
  <customSheetViews>
    <customSheetView guid="{C0BE45DA-73C0-4B1E-ABFB-A0FAB57D4E46}" showRuler="0">
      <selection activeCell="B3" sqref="B3:C3"/>
      <pageMargins left="0.94488188976377963" right="0.35433070866141736" top="0.98425196850393704" bottom="0.59055118110236227" header="0.51181102362204722" footer="0.51181102362204722"/>
      <pageSetup paperSize="9" orientation="portrait" horizontalDpi="4294967293" verticalDpi="0" r:id="rId1"/>
      <headerFooter alignWithMargins="0"/>
    </customSheetView>
  </customSheetViews>
  <mergeCells count="7">
    <mergeCell ref="B151:E151"/>
    <mergeCell ref="B3:E3"/>
    <mergeCell ref="B4:E4"/>
    <mergeCell ref="B150:E150"/>
    <mergeCell ref="C8:F8"/>
    <mergeCell ref="C9:F9"/>
    <mergeCell ref="B6:F6"/>
  </mergeCells>
  <phoneticPr fontId="2" type="noConversion"/>
  <pageMargins left="0.94488188976377963" right="0.35433070866141736" top="0.98425196850393704" bottom="0.39370078740157483" header="0.51181102362204722" footer="0.51181102362204722"/>
  <pageSetup paperSize="9" scale="73" orientation="portrait" horizontalDpi="4294967293" verticalDpi="0" r:id="rId2"/>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4"/>
  </sheetPr>
  <dimension ref="B1:I34"/>
  <sheetViews>
    <sheetView workbookViewId="0">
      <selection activeCell="G2" sqref="G2:I2"/>
    </sheetView>
  </sheetViews>
  <sheetFormatPr defaultRowHeight="13.2"/>
  <cols>
    <col min="1" max="1" width="2.6640625" customWidth="1"/>
    <col min="3" max="5" width="20.6640625" customWidth="1"/>
    <col min="7" max="7" width="25.6640625" customWidth="1"/>
    <col min="8" max="8" width="3.6640625" customWidth="1"/>
    <col min="9" max="9" width="25.6640625" customWidth="1"/>
    <col min="10" max="10" width="20.6640625" customWidth="1"/>
  </cols>
  <sheetData>
    <row r="1" spans="2:9" ht="20.100000000000001" customHeight="1" thickBot="1">
      <c r="B1" s="507" t="s">
        <v>710</v>
      </c>
      <c r="C1" s="507"/>
      <c r="D1" s="507"/>
      <c r="E1" s="507"/>
    </row>
    <row r="2" spans="2:9" ht="15" customHeight="1" thickTop="1">
      <c r="B2" s="149" t="s">
        <v>709</v>
      </c>
      <c r="C2" s="150" t="s">
        <v>655</v>
      </c>
      <c r="D2" s="150" t="s">
        <v>656</v>
      </c>
      <c r="E2" s="151" t="s">
        <v>657</v>
      </c>
      <c r="G2" s="559" t="s">
        <v>711</v>
      </c>
      <c r="H2" s="560"/>
      <c r="I2" s="561"/>
    </row>
    <row r="3" spans="2:9" ht="15" customHeight="1">
      <c r="B3" s="256">
        <v>1</v>
      </c>
      <c r="C3" s="257" t="s">
        <v>658</v>
      </c>
      <c r="D3" s="2" t="s">
        <v>659</v>
      </c>
      <c r="E3" s="3" t="s">
        <v>750</v>
      </c>
      <c r="G3" s="261" t="s">
        <v>712</v>
      </c>
      <c r="H3" s="194" t="s">
        <v>713</v>
      </c>
      <c r="I3" s="262" t="s">
        <v>714</v>
      </c>
    </row>
    <row r="4" spans="2:9" ht="15" customHeight="1">
      <c r="B4" s="256">
        <v>2</v>
      </c>
      <c r="C4" s="257" t="s">
        <v>660</v>
      </c>
      <c r="D4" s="2" t="s">
        <v>661</v>
      </c>
      <c r="E4" s="3" t="s">
        <v>662</v>
      </c>
      <c r="G4" s="261" t="s">
        <v>715</v>
      </c>
      <c r="H4" s="194" t="s">
        <v>713</v>
      </c>
      <c r="I4" s="262" t="s">
        <v>716</v>
      </c>
    </row>
    <row r="5" spans="2:9" ht="15" customHeight="1">
      <c r="B5" s="256">
        <v>3</v>
      </c>
      <c r="C5" s="257" t="s">
        <v>663</v>
      </c>
      <c r="D5" s="2" t="s">
        <v>664</v>
      </c>
      <c r="E5" s="3" t="s">
        <v>668</v>
      </c>
      <c r="G5" s="263" t="s">
        <v>717</v>
      </c>
      <c r="H5" s="194" t="s">
        <v>713</v>
      </c>
      <c r="I5" s="262" t="s">
        <v>718</v>
      </c>
    </row>
    <row r="6" spans="2:9" ht="15" customHeight="1">
      <c r="B6" s="256">
        <v>4</v>
      </c>
      <c r="C6" s="257" t="s">
        <v>665</v>
      </c>
      <c r="D6" s="2" t="s">
        <v>666</v>
      </c>
      <c r="E6" s="3" t="s">
        <v>667</v>
      </c>
      <c r="G6" s="263" t="s">
        <v>717</v>
      </c>
      <c r="H6" s="194" t="s">
        <v>713</v>
      </c>
      <c r="I6" s="262" t="s">
        <v>719</v>
      </c>
    </row>
    <row r="7" spans="2:9" ht="15" customHeight="1">
      <c r="B7" s="256">
        <v>5</v>
      </c>
      <c r="C7" s="257" t="s">
        <v>669</v>
      </c>
      <c r="D7" s="2" t="s">
        <v>670</v>
      </c>
      <c r="E7" s="3" t="s">
        <v>670</v>
      </c>
      <c r="G7" s="263" t="s">
        <v>678</v>
      </c>
      <c r="H7" s="194" t="s">
        <v>713</v>
      </c>
      <c r="I7" s="262" t="s">
        <v>720</v>
      </c>
    </row>
    <row r="8" spans="2:9" ht="15" customHeight="1">
      <c r="B8" s="256">
        <v>6</v>
      </c>
      <c r="C8" s="257" t="s">
        <v>671</v>
      </c>
      <c r="D8" s="2" t="s">
        <v>672</v>
      </c>
      <c r="E8" s="3" t="s">
        <v>673</v>
      </c>
      <c r="G8" s="263" t="s">
        <v>721</v>
      </c>
      <c r="H8" s="194" t="s">
        <v>713</v>
      </c>
      <c r="I8" s="262" t="s">
        <v>722</v>
      </c>
    </row>
    <row r="9" spans="2:9" ht="15" customHeight="1">
      <c r="B9" s="256">
        <v>7</v>
      </c>
      <c r="C9" s="257" t="s">
        <v>674</v>
      </c>
      <c r="D9" s="2" t="s">
        <v>675</v>
      </c>
      <c r="E9" s="3" t="s">
        <v>675</v>
      </c>
      <c r="G9" s="263" t="s">
        <v>723</v>
      </c>
      <c r="H9" s="194" t="s">
        <v>713</v>
      </c>
      <c r="I9" s="262" t="s">
        <v>724</v>
      </c>
    </row>
    <row r="10" spans="2:9" ht="15" customHeight="1">
      <c r="B10" s="256">
        <v>8</v>
      </c>
      <c r="C10" s="257" t="s">
        <v>676</v>
      </c>
      <c r="D10" s="2" t="s">
        <v>677</v>
      </c>
      <c r="E10" s="3" t="s">
        <v>677</v>
      </c>
      <c r="G10" s="263" t="s">
        <v>724</v>
      </c>
      <c r="H10" s="194" t="s">
        <v>713</v>
      </c>
      <c r="I10" s="262" t="s">
        <v>729</v>
      </c>
    </row>
    <row r="11" spans="2:9" ht="15" customHeight="1">
      <c r="B11" s="256">
        <v>9</v>
      </c>
      <c r="C11" s="257" t="s">
        <v>678</v>
      </c>
      <c r="D11" s="2" t="s">
        <v>679</v>
      </c>
      <c r="E11" s="3" t="s">
        <v>679</v>
      </c>
      <c r="G11" s="263" t="s">
        <v>730</v>
      </c>
      <c r="H11" s="194" t="s">
        <v>713</v>
      </c>
      <c r="I11" s="262" t="s">
        <v>731</v>
      </c>
    </row>
    <row r="12" spans="2:9" ht="15" customHeight="1">
      <c r="B12" s="256">
        <v>10</v>
      </c>
      <c r="C12" s="257" t="s">
        <v>680</v>
      </c>
      <c r="D12" s="2" t="s">
        <v>681</v>
      </c>
      <c r="E12" s="3" t="s">
        <v>681</v>
      </c>
      <c r="G12" s="263" t="s">
        <v>725</v>
      </c>
      <c r="H12" s="194" t="s">
        <v>713</v>
      </c>
      <c r="I12" s="262" t="s">
        <v>726</v>
      </c>
    </row>
    <row r="13" spans="2:9" ht="15" customHeight="1">
      <c r="B13" s="256">
        <v>11</v>
      </c>
      <c r="C13" s="257" t="s">
        <v>682</v>
      </c>
      <c r="D13" s="2" t="s">
        <v>683</v>
      </c>
      <c r="E13" s="3" t="s">
        <v>683</v>
      </c>
      <c r="G13" s="263" t="s">
        <v>727</v>
      </c>
      <c r="H13" s="194" t="s">
        <v>713</v>
      </c>
      <c r="I13" s="262" t="s">
        <v>728</v>
      </c>
    </row>
    <row r="14" spans="2:9" ht="15" customHeight="1">
      <c r="B14" s="256">
        <v>12</v>
      </c>
      <c r="C14" s="257" t="s">
        <v>684</v>
      </c>
      <c r="D14" s="2" t="s">
        <v>685</v>
      </c>
      <c r="E14" s="3" t="s">
        <v>685</v>
      </c>
      <c r="G14" s="263" t="s">
        <v>732</v>
      </c>
      <c r="H14" s="194" t="s">
        <v>713</v>
      </c>
      <c r="I14" s="262" t="s">
        <v>733</v>
      </c>
    </row>
    <row r="15" spans="2:9" ht="15" customHeight="1" thickBot="1">
      <c r="B15" s="256">
        <v>13</v>
      </c>
      <c r="C15" s="257" t="s">
        <v>686</v>
      </c>
      <c r="D15" s="2" t="s">
        <v>687</v>
      </c>
      <c r="E15" s="3" t="s">
        <v>687</v>
      </c>
      <c r="G15" s="264" t="s">
        <v>732</v>
      </c>
      <c r="H15" s="265" t="s">
        <v>713</v>
      </c>
      <c r="I15" s="266" t="s">
        <v>734</v>
      </c>
    </row>
    <row r="16" spans="2:9" ht="15" customHeight="1" thickTop="1">
      <c r="B16" s="256">
        <v>14</v>
      </c>
      <c r="C16" s="257" t="s">
        <v>688</v>
      </c>
      <c r="D16" s="2" t="s">
        <v>689</v>
      </c>
      <c r="E16" s="3" t="s">
        <v>689</v>
      </c>
      <c r="G16" s="254"/>
      <c r="H16" s="260"/>
    </row>
    <row r="17" spans="2:5" ht="15" customHeight="1">
      <c r="B17" s="256">
        <v>15</v>
      </c>
      <c r="C17" s="257" t="s">
        <v>699</v>
      </c>
      <c r="D17" s="2"/>
      <c r="E17" s="3"/>
    </row>
    <row r="18" spans="2:5" ht="15" customHeight="1">
      <c r="B18" s="256"/>
      <c r="C18" s="257" t="s">
        <v>690</v>
      </c>
      <c r="D18" s="2" t="s">
        <v>695</v>
      </c>
      <c r="E18" s="3" t="s">
        <v>695</v>
      </c>
    </row>
    <row r="19" spans="2:5" ht="15" customHeight="1">
      <c r="B19" s="256"/>
      <c r="C19" s="257" t="s">
        <v>691</v>
      </c>
      <c r="D19" s="2" t="s">
        <v>696</v>
      </c>
      <c r="E19" s="3" t="s">
        <v>696</v>
      </c>
    </row>
    <row r="20" spans="2:5" ht="15" customHeight="1">
      <c r="B20" s="256"/>
      <c r="C20" s="257" t="s">
        <v>692</v>
      </c>
      <c r="D20" s="2" t="s">
        <v>689</v>
      </c>
      <c r="E20" s="3" t="s">
        <v>689</v>
      </c>
    </row>
    <row r="21" spans="2:5" ht="15" customHeight="1">
      <c r="B21" s="256"/>
      <c r="C21" s="257" t="s">
        <v>693</v>
      </c>
      <c r="D21" s="2" t="s">
        <v>697</v>
      </c>
      <c r="E21" s="3" t="s">
        <v>697</v>
      </c>
    </row>
    <row r="22" spans="2:5" ht="15" customHeight="1">
      <c r="B22" s="256"/>
      <c r="C22" s="257" t="s">
        <v>694</v>
      </c>
      <c r="D22" s="2" t="s">
        <v>698</v>
      </c>
      <c r="E22" s="3" t="s">
        <v>698</v>
      </c>
    </row>
    <row r="23" spans="2:5" ht="15" customHeight="1">
      <c r="B23" s="256">
        <v>16</v>
      </c>
      <c r="C23" s="257" t="s">
        <v>700</v>
      </c>
      <c r="D23" s="2"/>
      <c r="E23" s="3"/>
    </row>
    <row r="24" spans="2:5" ht="15" customHeight="1">
      <c r="B24" s="256"/>
      <c r="C24" s="257" t="s">
        <v>690</v>
      </c>
      <c r="D24" s="2" t="s">
        <v>701</v>
      </c>
      <c r="E24" s="3" t="s">
        <v>701</v>
      </c>
    </row>
    <row r="25" spans="2:5" ht="15" customHeight="1">
      <c r="B25" s="256"/>
      <c r="C25" s="257" t="s">
        <v>691</v>
      </c>
      <c r="D25" s="2" t="s">
        <v>702</v>
      </c>
      <c r="E25" s="3" t="s">
        <v>702</v>
      </c>
    </row>
    <row r="26" spans="2:5" ht="15" customHeight="1">
      <c r="B26" s="256"/>
      <c r="C26" s="257" t="s">
        <v>692</v>
      </c>
      <c r="D26" s="2" t="s">
        <v>703</v>
      </c>
      <c r="E26" s="3" t="s">
        <v>703</v>
      </c>
    </row>
    <row r="27" spans="2:5" ht="15" customHeight="1">
      <c r="B27" s="256"/>
      <c r="C27" s="258" t="s">
        <v>693</v>
      </c>
      <c r="D27" s="2" t="s">
        <v>704</v>
      </c>
      <c r="E27" s="3" t="s">
        <v>704</v>
      </c>
    </row>
    <row r="28" spans="2:5" ht="15" customHeight="1">
      <c r="B28" s="256"/>
      <c r="C28" s="258" t="s">
        <v>694</v>
      </c>
      <c r="D28" s="2" t="s">
        <v>705</v>
      </c>
      <c r="E28" s="3" t="s">
        <v>705</v>
      </c>
    </row>
    <row r="29" spans="2:5" ht="15" customHeight="1">
      <c r="B29" s="256">
        <v>17</v>
      </c>
      <c r="C29" s="258" t="s">
        <v>706</v>
      </c>
      <c r="D29" s="2" t="s">
        <v>679</v>
      </c>
      <c r="E29" s="3" t="s">
        <v>679</v>
      </c>
    </row>
    <row r="30" spans="2:5" ht="15" customHeight="1" thickBot="1">
      <c r="B30" s="9">
        <v>18</v>
      </c>
      <c r="C30" s="259" t="s">
        <v>707</v>
      </c>
      <c r="D30" s="12" t="s">
        <v>708</v>
      </c>
      <c r="E30" s="13" t="s">
        <v>708</v>
      </c>
    </row>
    <row r="31" spans="2:5" ht="15" customHeight="1" thickTop="1">
      <c r="C31" s="255"/>
    </row>
    <row r="32" spans="2:5" ht="15" customHeight="1"/>
    <row r="33" ht="15" customHeight="1"/>
    <row r="34" ht="15" customHeight="1"/>
  </sheetData>
  <mergeCells count="2">
    <mergeCell ref="B1:E1"/>
    <mergeCell ref="G2:I2"/>
  </mergeCells>
  <phoneticPr fontId="2" type="noConversion"/>
  <pageMargins left="0.94488188976377963" right="0.35433070866141736" top="0.98425196850393704" bottom="0.39370078740157483" header="0.51181102362204722" footer="0.51181102362204722"/>
  <pageSetup paperSize="9" orientation="portrait" horizontalDpi="4294967293" verticalDpi="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0"/>
  </sheetPr>
  <dimension ref="B1:AC33"/>
  <sheetViews>
    <sheetView showGridLines="0" showZeros="0" workbookViewId="0">
      <selection activeCell="B2" sqref="B2:B4"/>
    </sheetView>
  </sheetViews>
  <sheetFormatPr defaultColWidth="9.109375" defaultRowHeight="11.4"/>
  <cols>
    <col min="1" max="1" width="2.6640625" style="131" customWidth="1"/>
    <col min="2" max="4" width="7.6640625" style="131" customWidth="1"/>
    <col min="5" max="27" width="6.6640625" style="131" customWidth="1"/>
    <col min="28" max="16384" width="9.109375" style="131"/>
  </cols>
  <sheetData>
    <row r="1" spans="2:29">
      <c r="F1" s="131" t="s">
        <v>408</v>
      </c>
    </row>
    <row r="2" spans="2:29" ht="12">
      <c r="B2" s="568" t="s">
        <v>407</v>
      </c>
      <c r="C2" s="571" t="s">
        <v>409</v>
      </c>
      <c r="D2" s="571" t="s">
        <v>410</v>
      </c>
      <c r="E2" s="565" t="s">
        <v>402</v>
      </c>
      <c r="F2" s="565"/>
      <c r="G2" s="565"/>
      <c r="H2" s="565"/>
      <c r="I2" s="565"/>
      <c r="J2" s="565"/>
      <c r="K2" s="565"/>
      <c r="L2" s="565"/>
      <c r="M2" s="565"/>
      <c r="N2" s="565"/>
      <c r="O2" s="565"/>
      <c r="P2" s="565"/>
      <c r="Q2" s="565"/>
      <c r="R2" s="565"/>
      <c r="S2" s="565"/>
      <c r="T2" s="565"/>
      <c r="U2" s="565"/>
      <c r="V2" s="566"/>
      <c r="W2" s="566"/>
      <c r="X2" s="566"/>
      <c r="Y2" s="566"/>
      <c r="Z2" s="566"/>
      <c r="AA2" s="567"/>
    </row>
    <row r="3" spans="2:29" ht="12.75" customHeight="1">
      <c r="B3" s="569"/>
      <c r="C3" s="572"/>
      <c r="D3" s="572"/>
      <c r="E3" s="562" t="s">
        <v>403</v>
      </c>
      <c r="F3" s="562"/>
      <c r="G3" s="562"/>
      <c r="H3" s="562"/>
      <c r="I3" s="562"/>
      <c r="J3" s="562"/>
      <c r="K3" s="562"/>
      <c r="L3" s="562"/>
      <c r="M3" s="562"/>
      <c r="N3" s="562"/>
      <c r="O3" s="562"/>
      <c r="P3" s="562"/>
      <c r="Q3" s="562"/>
      <c r="R3" s="562"/>
      <c r="S3" s="562"/>
      <c r="T3" s="562"/>
      <c r="U3" s="562"/>
      <c r="V3" s="563"/>
      <c r="W3" s="563"/>
      <c r="X3" s="563"/>
      <c r="Y3" s="563"/>
      <c r="Z3" s="563"/>
      <c r="AA3" s="564"/>
      <c r="AB3" s="133"/>
    </row>
    <row r="4" spans="2:29" ht="12.75" customHeight="1">
      <c r="B4" s="570"/>
      <c r="C4" s="573"/>
      <c r="D4" s="573"/>
      <c r="E4" s="562" t="s">
        <v>404</v>
      </c>
      <c r="F4" s="562"/>
      <c r="G4" s="562"/>
      <c r="H4" s="562"/>
      <c r="I4" s="562"/>
      <c r="J4" s="562"/>
      <c r="K4" s="562"/>
      <c r="L4" s="562"/>
      <c r="M4" s="562"/>
      <c r="N4" s="562"/>
      <c r="O4" s="562"/>
      <c r="P4" s="562"/>
      <c r="Q4" s="562"/>
      <c r="R4" s="562"/>
      <c r="S4" s="562"/>
      <c r="T4" s="562"/>
      <c r="U4" s="562"/>
      <c r="V4" s="563"/>
      <c r="W4" s="563"/>
      <c r="X4" s="563"/>
      <c r="Y4" s="563"/>
      <c r="Z4" s="563"/>
      <c r="AA4" s="564"/>
    </row>
    <row r="5" spans="2:29" ht="13.2">
      <c r="B5" s="134" t="s">
        <v>22</v>
      </c>
      <c r="C5" s="135" t="s">
        <v>23</v>
      </c>
      <c r="D5" s="136" t="s">
        <v>3</v>
      </c>
      <c r="E5" s="135">
        <v>50</v>
      </c>
      <c r="F5" s="135">
        <v>75</v>
      </c>
      <c r="G5" s="135">
        <v>100</v>
      </c>
      <c r="H5" s="135">
        <v>110</v>
      </c>
      <c r="I5" s="135">
        <v>120</v>
      </c>
      <c r="J5" s="135">
        <v>130</v>
      </c>
      <c r="K5" s="135">
        <v>140</v>
      </c>
      <c r="L5" s="135">
        <v>150</v>
      </c>
      <c r="M5" s="135">
        <v>160</v>
      </c>
      <c r="N5" s="135">
        <v>170</v>
      </c>
      <c r="O5" s="135">
        <v>180</v>
      </c>
      <c r="P5" s="135">
        <v>190</v>
      </c>
      <c r="Q5" s="135">
        <v>200</v>
      </c>
      <c r="R5" s="135">
        <v>210</v>
      </c>
      <c r="S5" s="135">
        <v>220</v>
      </c>
      <c r="T5" s="135">
        <v>230</v>
      </c>
      <c r="U5" s="135">
        <v>240</v>
      </c>
      <c r="V5" s="135">
        <v>250</v>
      </c>
      <c r="W5" s="135">
        <v>260</v>
      </c>
      <c r="X5" s="135">
        <v>270</v>
      </c>
      <c r="Y5" s="135">
        <v>280</v>
      </c>
      <c r="Z5" s="135">
        <v>290</v>
      </c>
      <c r="AA5" s="137">
        <v>300</v>
      </c>
      <c r="AB5" s="133"/>
      <c r="AC5" s="133"/>
    </row>
    <row r="6" spans="2:29" ht="13.2">
      <c r="B6" s="134"/>
      <c r="C6" s="135"/>
      <c r="D6" s="136"/>
      <c r="E6" s="135" t="s">
        <v>405</v>
      </c>
      <c r="F6" s="135" t="s">
        <v>406</v>
      </c>
      <c r="G6" s="135"/>
      <c r="H6" s="135"/>
      <c r="I6" s="135"/>
      <c r="J6" s="135"/>
      <c r="K6" s="135"/>
      <c r="L6" s="135"/>
      <c r="M6" s="135"/>
      <c r="N6" s="135"/>
      <c r="O6" s="135"/>
      <c r="P6" s="135"/>
      <c r="Q6" s="135"/>
      <c r="R6" s="135"/>
      <c r="S6" s="135"/>
      <c r="T6" s="135"/>
      <c r="U6" s="135"/>
      <c r="V6" s="135"/>
      <c r="W6" s="135"/>
      <c r="X6" s="135"/>
      <c r="Y6" s="135"/>
      <c r="Z6" s="135"/>
      <c r="AA6" s="137"/>
      <c r="AB6" s="133"/>
      <c r="AC6" s="133"/>
    </row>
    <row r="7" spans="2:29" ht="13.2">
      <c r="B7" s="134"/>
      <c r="C7" s="135"/>
      <c r="D7" s="136"/>
      <c r="E7" s="135">
        <v>1</v>
      </c>
      <c r="F7" s="135">
        <v>2</v>
      </c>
      <c r="G7" s="135">
        <v>3</v>
      </c>
      <c r="H7" s="135">
        <v>4</v>
      </c>
      <c r="I7" s="135">
        <v>5</v>
      </c>
      <c r="J7" s="135">
        <v>6</v>
      </c>
      <c r="K7" s="135">
        <v>7</v>
      </c>
      <c r="L7" s="135">
        <v>8</v>
      </c>
      <c r="M7" s="135">
        <v>9</v>
      </c>
      <c r="N7" s="135">
        <v>10</v>
      </c>
      <c r="O7" s="135">
        <v>11</v>
      </c>
      <c r="P7" s="135">
        <v>12</v>
      </c>
      <c r="Q7" s="135">
        <v>13</v>
      </c>
      <c r="R7" s="135">
        <v>14</v>
      </c>
      <c r="S7" s="135">
        <v>15</v>
      </c>
      <c r="T7" s="135">
        <v>16</v>
      </c>
      <c r="U7" s="135">
        <v>17</v>
      </c>
      <c r="V7" s="135">
        <v>18</v>
      </c>
      <c r="W7" s="135">
        <v>19</v>
      </c>
      <c r="X7" s="135">
        <v>20</v>
      </c>
      <c r="Y7" s="135">
        <v>21</v>
      </c>
      <c r="Z7" s="135">
        <v>22</v>
      </c>
      <c r="AA7" s="137">
        <v>23</v>
      </c>
      <c r="AB7" s="133"/>
      <c r="AC7" s="133"/>
    </row>
    <row r="8" spans="2:29">
      <c r="B8" s="138">
        <v>4</v>
      </c>
      <c r="C8" s="139">
        <f t="shared" ref="C8:C30" si="0">PI()/4*(B8/1000)^2*7850</f>
        <v>9.8646009322719497E-2</v>
      </c>
      <c r="D8" s="139">
        <f t="shared" ref="D8:D30" si="1">PI()/4*(B8/10)^2</f>
        <v>0.12566370614359174</v>
      </c>
      <c r="E8" s="132">
        <f t="shared" ref="E8:N17" si="2">ROUND(1000/E$5*$D8,2)</f>
        <v>2.5099999999999998</v>
      </c>
      <c r="F8" s="132">
        <f t="shared" si="2"/>
        <v>1.68</v>
      </c>
      <c r="G8" s="132">
        <f t="shared" si="2"/>
        <v>1.26</v>
      </c>
      <c r="H8" s="132">
        <f t="shared" si="2"/>
        <v>1.1399999999999999</v>
      </c>
      <c r="I8" s="132">
        <f t="shared" si="2"/>
        <v>1.05</v>
      </c>
      <c r="J8" s="132">
        <f t="shared" si="2"/>
        <v>0.97</v>
      </c>
      <c r="K8" s="132">
        <f t="shared" si="2"/>
        <v>0.9</v>
      </c>
      <c r="L8" s="140">
        <f t="shared" si="2"/>
        <v>0.84</v>
      </c>
      <c r="M8" s="140">
        <f t="shared" si="2"/>
        <v>0.79</v>
      </c>
      <c r="N8" s="140">
        <f t="shared" si="2"/>
        <v>0.74</v>
      </c>
      <c r="O8" s="140">
        <f t="shared" ref="O8:AA17" si="3">ROUND(1000/O$5*$D8,2)</f>
        <v>0.7</v>
      </c>
      <c r="P8" s="140">
        <f t="shared" si="3"/>
        <v>0.66</v>
      </c>
      <c r="Q8" s="132">
        <f t="shared" si="3"/>
        <v>0.63</v>
      </c>
      <c r="R8" s="132">
        <f t="shared" si="3"/>
        <v>0.6</v>
      </c>
      <c r="S8" s="132">
        <f t="shared" si="3"/>
        <v>0.56999999999999995</v>
      </c>
      <c r="T8" s="132">
        <f t="shared" si="3"/>
        <v>0.55000000000000004</v>
      </c>
      <c r="U8" s="132">
        <f t="shared" si="3"/>
        <v>0.52</v>
      </c>
      <c r="V8" s="132">
        <f t="shared" si="3"/>
        <v>0.5</v>
      </c>
      <c r="W8" s="132">
        <f t="shared" si="3"/>
        <v>0.48</v>
      </c>
      <c r="X8" s="132">
        <f t="shared" si="3"/>
        <v>0.47</v>
      </c>
      <c r="Y8" s="132">
        <f t="shared" si="3"/>
        <v>0.45</v>
      </c>
      <c r="Z8" s="132">
        <f t="shared" si="3"/>
        <v>0.43</v>
      </c>
      <c r="AA8" s="141">
        <f t="shared" si="3"/>
        <v>0.42</v>
      </c>
      <c r="AB8" s="133"/>
      <c r="AC8" s="133"/>
    </row>
    <row r="9" spans="2:29">
      <c r="B9" s="138">
        <v>4.5</v>
      </c>
      <c r="C9" s="139">
        <f t="shared" si="0"/>
        <v>0.12484885554906686</v>
      </c>
      <c r="D9" s="139">
        <f t="shared" si="1"/>
        <v>0.15904312808798329</v>
      </c>
      <c r="E9" s="132">
        <f t="shared" si="2"/>
        <v>3.18</v>
      </c>
      <c r="F9" s="132">
        <f t="shared" si="2"/>
        <v>2.12</v>
      </c>
      <c r="G9" s="132">
        <f t="shared" si="2"/>
        <v>1.59</v>
      </c>
      <c r="H9" s="132">
        <f t="shared" si="2"/>
        <v>1.45</v>
      </c>
      <c r="I9" s="132">
        <f t="shared" si="2"/>
        <v>1.33</v>
      </c>
      <c r="J9" s="132">
        <f t="shared" si="2"/>
        <v>1.22</v>
      </c>
      <c r="K9" s="132">
        <f t="shared" si="2"/>
        <v>1.1399999999999999</v>
      </c>
      <c r="L9" s="140">
        <f t="shared" si="2"/>
        <v>1.06</v>
      </c>
      <c r="M9" s="140">
        <f t="shared" si="2"/>
        <v>0.99</v>
      </c>
      <c r="N9" s="140">
        <f t="shared" si="2"/>
        <v>0.94</v>
      </c>
      <c r="O9" s="140">
        <f t="shared" si="3"/>
        <v>0.88</v>
      </c>
      <c r="P9" s="140">
        <f t="shared" si="3"/>
        <v>0.84</v>
      </c>
      <c r="Q9" s="132">
        <f t="shared" si="3"/>
        <v>0.8</v>
      </c>
      <c r="R9" s="132">
        <f t="shared" si="3"/>
        <v>0.76</v>
      </c>
      <c r="S9" s="132">
        <f t="shared" si="3"/>
        <v>0.72</v>
      </c>
      <c r="T9" s="132">
        <f t="shared" si="3"/>
        <v>0.69</v>
      </c>
      <c r="U9" s="132">
        <f t="shared" si="3"/>
        <v>0.66</v>
      </c>
      <c r="V9" s="132">
        <f t="shared" si="3"/>
        <v>0.64</v>
      </c>
      <c r="W9" s="132">
        <f t="shared" si="3"/>
        <v>0.61</v>
      </c>
      <c r="X9" s="132">
        <f t="shared" si="3"/>
        <v>0.59</v>
      </c>
      <c r="Y9" s="132">
        <f t="shared" si="3"/>
        <v>0.56999999999999995</v>
      </c>
      <c r="Z9" s="132">
        <f t="shared" si="3"/>
        <v>0.55000000000000004</v>
      </c>
      <c r="AA9" s="141">
        <f t="shared" si="3"/>
        <v>0.53</v>
      </c>
      <c r="AB9" s="133"/>
      <c r="AC9" s="133"/>
    </row>
    <row r="10" spans="2:29">
      <c r="B10" s="138">
        <v>5</v>
      </c>
      <c r="C10" s="139">
        <f t="shared" si="0"/>
        <v>0.15413438956674921</v>
      </c>
      <c r="D10" s="139">
        <f t="shared" si="1"/>
        <v>0.19634954084936207</v>
      </c>
      <c r="E10" s="132">
        <f t="shared" si="2"/>
        <v>3.93</v>
      </c>
      <c r="F10" s="132">
        <f t="shared" si="2"/>
        <v>2.62</v>
      </c>
      <c r="G10" s="132">
        <f t="shared" si="2"/>
        <v>1.96</v>
      </c>
      <c r="H10" s="132">
        <f t="shared" si="2"/>
        <v>1.78</v>
      </c>
      <c r="I10" s="132">
        <f t="shared" si="2"/>
        <v>1.64</v>
      </c>
      <c r="J10" s="132">
        <f t="shared" si="2"/>
        <v>1.51</v>
      </c>
      <c r="K10" s="132">
        <f t="shared" si="2"/>
        <v>1.4</v>
      </c>
      <c r="L10" s="140">
        <f t="shared" si="2"/>
        <v>1.31</v>
      </c>
      <c r="M10" s="140">
        <f t="shared" si="2"/>
        <v>1.23</v>
      </c>
      <c r="N10" s="140">
        <f t="shared" si="2"/>
        <v>1.1499999999999999</v>
      </c>
      <c r="O10" s="140">
        <f t="shared" si="3"/>
        <v>1.0900000000000001</v>
      </c>
      <c r="P10" s="140">
        <f t="shared" si="3"/>
        <v>1.03</v>
      </c>
      <c r="Q10" s="132">
        <f t="shared" si="3"/>
        <v>0.98</v>
      </c>
      <c r="R10" s="132">
        <f t="shared" si="3"/>
        <v>0.93</v>
      </c>
      <c r="S10" s="132">
        <f t="shared" si="3"/>
        <v>0.89</v>
      </c>
      <c r="T10" s="132">
        <f t="shared" si="3"/>
        <v>0.85</v>
      </c>
      <c r="U10" s="132">
        <f t="shared" si="3"/>
        <v>0.82</v>
      </c>
      <c r="V10" s="132">
        <f t="shared" si="3"/>
        <v>0.79</v>
      </c>
      <c r="W10" s="132">
        <f t="shared" si="3"/>
        <v>0.76</v>
      </c>
      <c r="X10" s="132">
        <f t="shared" si="3"/>
        <v>0.73</v>
      </c>
      <c r="Y10" s="132">
        <f t="shared" si="3"/>
        <v>0.7</v>
      </c>
      <c r="Z10" s="132">
        <f t="shared" si="3"/>
        <v>0.68</v>
      </c>
      <c r="AA10" s="141">
        <f t="shared" si="3"/>
        <v>0.65</v>
      </c>
      <c r="AB10" s="133"/>
      <c r="AC10" s="133"/>
    </row>
    <row r="11" spans="2:29">
      <c r="B11" s="138">
        <v>5.5</v>
      </c>
      <c r="C11" s="139">
        <f t="shared" si="0"/>
        <v>0.18650261137576654</v>
      </c>
      <c r="D11" s="139">
        <f t="shared" si="1"/>
        <v>0.23758294442772815</v>
      </c>
      <c r="E11" s="132">
        <f t="shared" si="2"/>
        <v>4.75</v>
      </c>
      <c r="F11" s="132">
        <f t="shared" si="2"/>
        <v>3.17</v>
      </c>
      <c r="G11" s="132">
        <f t="shared" si="2"/>
        <v>2.38</v>
      </c>
      <c r="H11" s="132">
        <f t="shared" si="2"/>
        <v>2.16</v>
      </c>
      <c r="I11" s="132">
        <f t="shared" si="2"/>
        <v>1.98</v>
      </c>
      <c r="J11" s="132">
        <f t="shared" si="2"/>
        <v>1.83</v>
      </c>
      <c r="K11" s="132">
        <f t="shared" si="2"/>
        <v>1.7</v>
      </c>
      <c r="L11" s="140">
        <f t="shared" si="2"/>
        <v>1.58</v>
      </c>
      <c r="M11" s="140">
        <f t="shared" si="2"/>
        <v>1.48</v>
      </c>
      <c r="N11" s="140">
        <f t="shared" si="2"/>
        <v>1.4</v>
      </c>
      <c r="O11" s="140">
        <f t="shared" si="3"/>
        <v>1.32</v>
      </c>
      <c r="P11" s="140">
        <f t="shared" si="3"/>
        <v>1.25</v>
      </c>
      <c r="Q11" s="132">
        <f t="shared" si="3"/>
        <v>1.19</v>
      </c>
      <c r="R11" s="132">
        <f t="shared" si="3"/>
        <v>1.1299999999999999</v>
      </c>
      <c r="S11" s="132">
        <f t="shared" si="3"/>
        <v>1.08</v>
      </c>
      <c r="T11" s="132">
        <f t="shared" si="3"/>
        <v>1.03</v>
      </c>
      <c r="U11" s="132">
        <f t="shared" si="3"/>
        <v>0.99</v>
      </c>
      <c r="V11" s="132">
        <f t="shared" si="3"/>
        <v>0.95</v>
      </c>
      <c r="W11" s="132">
        <f t="shared" si="3"/>
        <v>0.91</v>
      </c>
      <c r="X11" s="132">
        <f t="shared" si="3"/>
        <v>0.88</v>
      </c>
      <c r="Y11" s="132">
        <f t="shared" si="3"/>
        <v>0.85</v>
      </c>
      <c r="Z11" s="132">
        <f t="shared" si="3"/>
        <v>0.82</v>
      </c>
      <c r="AA11" s="141">
        <f t="shared" si="3"/>
        <v>0.79</v>
      </c>
      <c r="AB11" s="133"/>
      <c r="AC11" s="133"/>
    </row>
    <row r="12" spans="2:29">
      <c r="B12" s="138">
        <v>6</v>
      </c>
      <c r="C12" s="139">
        <f t="shared" si="0"/>
        <v>0.22195352097611887</v>
      </c>
      <c r="D12" s="139">
        <f t="shared" si="1"/>
        <v>0.28274333882308139</v>
      </c>
      <c r="E12" s="132">
        <f t="shared" si="2"/>
        <v>5.65</v>
      </c>
      <c r="F12" s="132">
        <f t="shared" si="2"/>
        <v>3.77</v>
      </c>
      <c r="G12" s="132">
        <f t="shared" si="2"/>
        <v>2.83</v>
      </c>
      <c r="H12" s="132">
        <f t="shared" si="2"/>
        <v>2.57</v>
      </c>
      <c r="I12" s="132">
        <f t="shared" si="2"/>
        <v>2.36</v>
      </c>
      <c r="J12" s="132">
        <f t="shared" si="2"/>
        <v>2.17</v>
      </c>
      <c r="K12" s="132">
        <f t="shared" si="2"/>
        <v>2.02</v>
      </c>
      <c r="L12" s="140">
        <f t="shared" si="2"/>
        <v>1.88</v>
      </c>
      <c r="M12" s="140">
        <f t="shared" si="2"/>
        <v>1.77</v>
      </c>
      <c r="N12" s="140">
        <f t="shared" si="2"/>
        <v>1.66</v>
      </c>
      <c r="O12" s="140">
        <f t="shared" si="3"/>
        <v>1.57</v>
      </c>
      <c r="P12" s="140">
        <f t="shared" si="3"/>
        <v>1.49</v>
      </c>
      <c r="Q12" s="132">
        <f t="shared" si="3"/>
        <v>1.41</v>
      </c>
      <c r="R12" s="132">
        <f t="shared" si="3"/>
        <v>1.35</v>
      </c>
      <c r="S12" s="132">
        <f t="shared" si="3"/>
        <v>1.29</v>
      </c>
      <c r="T12" s="132">
        <f t="shared" si="3"/>
        <v>1.23</v>
      </c>
      <c r="U12" s="132">
        <f t="shared" si="3"/>
        <v>1.18</v>
      </c>
      <c r="V12" s="132">
        <f t="shared" si="3"/>
        <v>1.1299999999999999</v>
      </c>
      <c r="W12" s="132">
        <f t="shared" si="3"/>
        <v>1.0900000000000001</v>
      </c>
      <c r="X12" s="132">
        <f t="shared" si="3"/>
        <v>1.05</v>
      </c>
      <c r="Y12" s="132">
        <f t="shared" si="3"/>
        <v>1.01</v>
      </c>
      <c r="Z12" s="132">
        <f t="shared" si="3"/>
        <v>0.97</v>
      </c>
      <c r="AA12" s="141">
        <f t="shared" si="3"/>
        <v>0.94</v>
      </c>
      <c r="AB12" s="133"/>
      <c r="AC12" s="133"/>
    </row>
    <row r="13" spans="2:29">
      <c r="B13" s="138">
        <v>6.5</v>
      </c>
      <c r="C13" s="139">
        <f t="shared" si="0"/>
        <v>0.26048711836780614</v>
      </c>
      <c r="D13" s="139">
        <f t="shared" si="1"/>
        <v>0.33183072403542191</v>
      </c>
      <c r="E13" s="132">
        <f t="shared" si="2"/>
        <v>6.64</v>
      </c>
      <c r="F13" s="132">
        <f t="shared" si="2"/>
        <v>4.42</v>
      </c>
      <c r="G13" s="132">
        <f t="shared" si="2"/>
        <v>3.32</v>
      </c>
      <c r="H13" s="132">
        <f t="shared" si="2"/>
        <v>3.02</v>
      </c>
      <c r="I13" s="132">
        <f t="shared" si="2"/>
        <v>2.77</v>
      </c>
      <c r="J13" s="132">
        <f t="shared" si="2"/>
        <v>2.5499999999999998</v>
      </c>
      <c r="K13" s="132">
        <f t="shared" si="2"/>
        <v>2.37</v>
      </c>
      <c r="L13" s="140">
        <f t="shared" si="2"/>
        <v>2.21</v>
      </c>
      <c r="M13" s="140">
        <f t="shared" si="2"/>
        <v>2.0699999999999998</v>
      </c>
      <c r="N13" s="140">
        <f t="shared" si="2"/>
        <v>1.95</v>
      </c>
      <c r="O13" s="140">
        <f t="shared" si="3"/>
        <v>1.84</v>
      </c>
      <c r="P13" s="140">
        <f t="shared" si="3"/>
        <v>1.75</v>
      </c>
      <c r="Q13" s="132">
        <f t="shared" si="3"/>
        <v>1.66</v>
      </c>
      <c r="R13" s="132">
        <f t="shared" si="3"/>
        <v>1.58</v>
      </c>
      <c r="S13" s="132">
        <f t="shared" si="3"/>
        <v>1.51</v>
      </c>
      <c r="T13" s="132">
        <f t="shared" si="3"/>
        <v>1.44</v>
      </c>
      <c r="U13" s="132">
        <f t="shared" si="3"/>
        <v>1.38</v>
      </c>
      <c r="V13" s="132">
        <f t="shared" si="3"/>
        <v>1.33</v>
      </c>
      <c r="W13" s="132">
        <f t="shared" si="3"/>
        <v>1.28</v>
      </c>
      <c r="X13" s="132">
        <f t="shared" si="3"/>
        <v>1.23</v>
      </c>
      <c r="Y13" s="132">
        <f t="shared" si="3"/>
        <v>1.19</v>
      </c>
      <c r="Z13" s="132">
        <f t="shared" si="3"/>
        <v>1.1399999999999999</v>
      </c>
      <c r="AA13" s="141">
        <f t="shared" si="3"/>
        <v>1.1100000000000001</v>
      </c>
      <c r="AB13" s="133"/>
      <c r="AC13" s="133"/>
    </row>
    <row r="14" spans="2:29">
      <c r="B14" s="138">
        <v>7</v>
      </c>
      <c r="C14" s="139">
        <f t="shared" si="0"/>
        <v>0.30210340355082854</v>
      </c>
      <c r="D14" s="139">
        <f t="shared" si="1"/>
        <v>0.38484510006474959</v>
      </c>
      <c r="E14" s="132">
        <f t="shared" si="2"/>
        <v>7.7</v>
      </c>
      <c r="F14" s="132">
        <f t="shared" si="2"/>
        <v>5.13</v>
      </c>
      <c r="G14" s="132">
        <f t="shared" si="2"/>
        <v>3.85</v>
      </c>
      <c r="H14" s="132">
        <f t="shared" si="2"/>
        <v>3.5</v>
      </c>
      <c r="I14" s="132">
        <f t="shared" si="2"/>
        <v>3.21</v>
      </c>
      <c r="J14" s="132">
        <f t="shared" si="2"/>
        <v>2.96</v>
      </c>
      <c r="K14" s="132">
        <f t="shared" si="2"/>
        <v>2.75</v>
      </c>
      <c r="L14" s="140">
        <f t="shared" si="2"/>
        <v>2.57</v>
      </c>
      <c r="M14" s="140">
        <f t="shared" si="2"/>
        <v>2.41</v>
      </c>
      <c r="N14" s="140">
        <f t="shared" si="2"/>
        <v>2.2599999999999998</v>
      </c>
      <c r="O14" s="140">
        <f t="shared" si="3"/>
        <v>2.14</v>
      </c>
      <c r="P14" s="140">
        <f t="shared" si="3"/>
        <v>2.0299999999999998</v>
      </c>
      <c r="Q14" s="132">
        <f t="shared" si="3"/>
        <v>1.92</v>
      </c>
      <c r="R14" s="132">
        <f t="shared" si="3"/>
        <v>1.83</v>
      </c>
      <c r="S14" s="132">
        <f t="shared" si="3"/>
        <v>1.75</v>
      </c>
      <c r="T14" s="132">
        <f t="shared" si="3"/>
        <v>1.67</v>
      </c>
      <c r="U14" s="132">
        <f t="shared" si="3"/>
        <v>1.6</v>
      </c>
      <c r="V14" s="132">
        <f t="shared" si="3"/>
        <v>1.54</v>
      </c>
      <c r="W14" s="132">
        <f t="shared" si="3"/>
        <v>1.48</v>
      </c>
      <c r="X14" s="132">
        <f t="shared" si="3"/>
        <v>1.43</v>
      </c>
      <c r="Y14" s="132">
        <f t="shared" si="3"/>
        <v>1.37</v>
      </c>
      <c r="Z14" s="132">
        <f t="shared" si="3"/>
        <v>1.33</v>
      </c>
      <c r="AA14" s="141">
        <f t="shared" si="3"/>
        <v>1.28</v>
      </c>
      <c r="AB14" s="133"/>
      <c r="AC14" s="133"/>
    </row>
    <row r="15" spans="2:29">
      <c r="B15" s="138">
        <v>7.5</v>
      </c>
      <c r="C15" s="139">
        <f t="shared" si="0"/>
        <v>0.34680237652518575</v>
      </c>
      <c r="D15" s="139">
        <f t="shared" si="1"/>
        <v>0.44178646691106466</v>
      </c>
      <c r="E15" s="132">
        <f t="shared" si="2"/>
        <v>8.84</v>
      </c>
      <c r="F15" s="132">
        <f t="shared" si="2"/>
        <v>5.89</v>
      </c>
      <c r="G15" s="132">
        <f t="shared" si="2"/>
        <v>4.42</v>
      </c>
      <c r="H15" s="132">
        <f t="shared" si="2"/>
        <v>4.0199999999999996</v>
      </c>
      <c r="I15" s="132">
        <f t="shared" si="2"/>
        <v>3.68</v>
      </c>
      <c r="J15" s="132">
        <f t="shared" si="2"/>
        <v>3.4</v>
      </c>
      <c r="K15" s="132">
        <f t="shared" si="2"/>
        <v>3.16</v>
      </c>
      <c r="L15" s="140">
        <f t="shared" si="2"/>
        <v>2.95</v>
      </c>
      <c r="M15" s="140">
        <f t="shared" si="2"/>
        <v>2.76</v>
      </c>
      <c r="N15" s="140">
        <f t="shared" si="2"/>
        <v>2.6</v>
      </c>
      <c r="O15" s="140">
        <f t="shared" si="3"/>
        <v>2.4500000000000002</v>
      </c>
      <c r="P15" s="140">
        <f t="shared" si="3"/>
        <v>2.33</v>
      </c>
      <c r="Q15" s="132">
        <f t="shared" si="3"/>
        <v>2.21</v>
      </c>
      <c r="R15" s="132">
        <f t="shared" si="3"/>
        <v>2.1</v>
      </c>
      <c r="S15" s="132">
        <f t="shared" si="3"/>
        <v>2.0099999999999998</v>
      </c>
      <c r="T15" s="132">
        <f t="shared" si="3"/>
        <v>1.92</v>
      </c>
      <c r="U15" s="132">
        <f t="shared" si="3"/>
        <v>1.84</v>
      </c>
      <c r="V15" s="132">
        <f t="shared" si="3"/>
        <v>1.77</v>
      </c>
      <c r="W15" s="132">
        <f t="shared" si="3"/>
        <v>1.7</v>
      </c>
      <c r="X15" s="132">
        <f t="shared" si="3"/>
        <v>1.64</v>
      </c>
      <c r="Y15" s="132">
        <f t="shared" si="3"/>
        <v>1.58</v>
      </c>
      <c r="Z15" s="132">
        <f t="shared" si="3"/>
        <v>1.52</v>
      </c>
      <c r="AA15" s="141">
        <f t="shared" si="3"/>
        <v>1.47</v>
      </c>
      <c r="AB15" s="133"/>
      <c r="AC15" s="133"/>
    </row>
    <row r="16" spans="2:29">
      <c r="B16" s="138">
        <v>8</v>
      </c>
      <c r="C16" s="139">
        <f t="shared" si="0"/>
        <v>0.39458403729087799</v>
      </c>
      <c r="D16" s="139">
        <f t="shared" si="1"/>
        <v>0.50265482457436694</v>
      </c>
      <c r="E16" s="132">
        <f t="shared" si="2"/>
        <v>10.050000000000001</v>
      </c>
      <c r="F16" s="132">
        <f t="shared" si="2"/>
        <v>6.7</v>
      </c>
      <c r="G16" s="132">
        <f t="shared" si="2"/>
        <v>5.03</v>
      </c>
      <c r="H16" s="132">
        <f t="shared" si="2"/>
        <v>4.57</v>
      </c>
      <c r="I16" s="132">
        <f t="shared" si="2"/>
        <v>4.1900000000000004</v>
      </c>
      <c r="J16" s="132">
        <f t="shared" si="2"/>
        <v>3.87</v>
      </c>
      <c r="K16" s="132">
        <f t="shared" si="2"/>
        <v>3.59</v>
      </c>
      <c r="L16" s="140">
        <f t="shared" si="2"/>
        <v>3.35</v>
      </c>
      <c r="M16" s="140">
        <f t="shared" si="2"/>
        <v>3.14</v>
      </c>
      <c r="N16" s="140">
        <f t="shared" si="2"/>
        <v>2.96</v>
      </c>
      <c r="O16" s="140">
        <f t="shared" si="3"/>
        <v>2.79</v>
      </c>
      <c r="P16" s="140">
        <f t="shared" si="3"/>
        <v>2.65</v>
      </c>
      <c r="Q16" s="132">
        <f t="shared" si="3"/>
        <v>2.5099999999999998</v>
      </c>
      <c r="R16" s="132">
        <f t="shared" si="3"/>
        <v>2.39</v>
      </c>
      <c r="S16" s="132">
        <f t="shared" si="3"/>
        <v>2.2799999999999998</v>
      </c>
      <c r="T16" s="132">
        <f t="shared" si="3"/>
        <v>2.19</v>
      </c>
      <c r="U16" s="132">
        <f t="shared" si="3"/>
        <v>2.09</v>
      </c>
      <c r="V16" s="132">
        <f t="shared" si="3"/>
        <v>2.0099999999999998</v>
      </c>
      <c r="W16" s="132">
        <f t="shared" si="3"/>
        <v>1.93</v>
      </c>
      <c r="X16" s="132">
        <f t="shared" si="3"/>
        <v>1.86</v>
      </c>
      <c r="Y16" s="132">
        <f t="shared" si="3"/>
        <v>1.8</v>
      </c>
      <c r="Z16" s="132">
        <f t="shared" si="3"/>
        <v>1.73</v>
      </c>
      <c r="AA16" s="141">
        <f t="shared" si="3"/>
        <v>1.68</v>
      </c>
      <c r="AB16" s="133"/>
      <c r="AC16" s="133"/>
    </row>
    <row r="17" spans="2:29">
      <c r="B17" s="138">
        <v>8.5</v>
      </c>
      <c r="C17" s="139">
        <f t="shared" si="0"/>
        <v>0.4454483858479053</v>
      </c>
      <c r="D17" s="139">
        <f t="shared" si="1"/>
        <v>0.56745017305465628</v>
      </c>
      <c r="E17" s="132">
        <f t="shared" si="2"/>
        <v>11.35</v>
      </c>
      <c r="F17" s="132">
        <f t="shared" si="2"/>
        <v>7.57</v>
      </c>
      <c r="G17" s="132">
        <f t="shared" si="2"/>
        <v>5.67</v>
      </c>
      <c r="H17" s="132">
        <f t="shared" si="2"/>
        <v>5.16</v>
      </c>
      <c r="I17" s="132">
        <f t="shared" si="2"/>
        <v>4.7300000000000004</v>
      </c>
      <c r="J17" s="132">
        <f t="shared" si="2"/>
        <v>4.37</v>
      </c>
      <c r="K17" s="132">
        <f t="shared" si="2"/>
        <v>4.05</v>
      </c>
      <c r="L17" s="140">
        <f t="shared" si="2"/>
        <v>3.78</v>
      </c>
      <c r="M17" s="140">
        <f t="shared" si="2"/>
        <v>3.55</v>
      </c>
      <c r="N17" s="140">
        <f t="shared" si="2"/>
        <v>3.34</v>
      </c>
      <c r="O17" s="140">
        <f t="shared" si="3"/>
        <v>3.15</v>
      </c>
      <c r="P17" s="140">
        <f t="shared" si="3"/>
        <v>2.99</v>
      </c>
      <c r="Q17" s="132">
        <f t="shared" si="3"/>
        <v>2.84</v>
      </c>
      <c r="R17" s="132">
        <f t="shared" si="3"/>
        <v>2.7</v>
      </c>
      <c r="S17" s="132">
        <f t="shared" si="3"/>
        <v>2.58</v>
      </c>
      <c r="T17" s="132">
        <f t="shared" si="3"/>
        <v>2.4700000000000002</v>
      </c>
      <c r="U17" s="132">
        <f t="shared" si="3"/>
        <v>2.36</v>
      </c>
      <c r="V17" s="132">
        <f t="shared" si="3"/>
        <v>2.27</v>
      </c>
      <c r="W17" s="132">
        <f t="shared" si="3"/>
        <v>2.1800000000000002</v>
      </c>
      <c r="X17" s="132">
        <f t="shared" si="3"/>
        <v>2.1</v>
      </c>
      <c r="Y17" s="132">
        <f t="shared" si="3"/>
        <v>2.0299999999999998</v>
      </c>
      <c r="Z17" s="132">
        <f t="shared" si="3"/>
        <v>1.96</v>
      </c>
      <c r="AA17" s="141">
        <f t="shared" si="3"/>
        <v>1.89</v>
      </c>
      <c r="AB17" s="133"/>
      <c r="AC17" s="133"/>
    </row>
    <row r="18" spans="2:29">
      <c r="B18" s="138">
        <v>9</v>
      </c>
      <c r="C18" s="139">
        <f t="shared" si="0"/>
        <v>0.49939542219626742</v>
      </c>
      <c r="D18" s="139">
        <f t="shared" si="1"/>
        <v>0.63617251235193317</v>
      </c>
      <c r="E18" s="132">
        <f t="shared" ref="E18:N30" si="4">ROUND(1000/E$5*$D18,2)</f>
        <v>12.72</v>
      </c>
      <c r="F18" s="132">
        <f t="shared" si="4"/>
        <v>8.48</v>
      </c>
      <c r="G18" s="132">
        <f t="shared" si="4"/>
        <v>6.36</v>
      </c>
      <c r="H18" s="132">
        <f t="shared" si="4"/>
        <v>5.78</v>
      </c>
      <c r="I18" s="132">
        <f t="shared" si="4"/>
        <v>5.3</v>
      </c>
      <c r="J18" s="132">
        <f t="shared" si="4"/>
        <v>4.8899999999999997</v>
      </c>
      <c r="K18" s="132">
        <f t="shared" si="4"/>
        <v>4.54</v>
      </c>
      <c r="L18" s="140">
        <f t="shared" si="4"/>
        <v>4.24</v>
      </c>
      <c r="M18" s="140">
        <f t="shared" si="4"/>
        <v>3.98</v>
      </c>
      <c r="N18" s="140">
        <f t="shared" si="4"/>
        <v>3.74</v>
      </c>
      <c r="O18" s="140">
        <f t="shared" ref="O18:AA30" si="5">ROUND(1000/O$5*$D18,2)</f>
        <v>3.53</v>
      </c>
      <c r="P18" s="140">
        <f t="shared" si="5"/>
        <v>3.35</v>
      </c>
      <c r="Q18" s="132">
        <f t="shared" si="5"/>
        <v>3.18</v>
      </c>
      <c r="R18" s="132">
        <f t="shared" si="5"/>
        <v>3.03</v>
      </c>
      <c r="S18" s="132">
        <f t="shared" si="5"/>
        <v>2.89</v>
      </c>
      <c r="T18" s="132">
        <f t="shared" si="5"/>
        <v>2.77</v>
      </c>
      <c r="U18" s="132">
        <f t="shared" si="5"/>
        <v>2.65</v>
      </c>
      <c r="V18" s="132">
        <f t="shared" si="5"/>
        <v>2.54</v>
      </c>
      <c r="W18" s="132">
        <f t="shared" si="5"/>
        <v>2.4500000000000002</v>
      </c>
      <c r="X18" s="132">
        <f t="shared" si="5"/>
        <v>2.36</v>
      </c>
      <c r="Y18" s="132">
        <f t="shared" si="5"/>
        <v>2.27</v>
      </c>
      <c r="Z18" s="132">
        <f t="shared" si="5"/>
        <v>2.19</v>
      </c>
      <c r="AA18" s="141">
        <f t="shared" si="5"/>
        <v>2.12</v>
      </c>
      <c r="AB18" s="133"/>
      <c r="AC18" s="133"/>
    </row>
    <row r="19" spans="2:29">
      <c r="B19" s="138">
        <v>9.5</v>
      </c>
      <c r="C19" s="139">
        <f t="shared" si="0"/>
        <v>0.55642514633596463</v>
      </c>
      <c r="D19" s="139">
        <f t="shared" si="1"/>
        <v>0.70882184246619706</v>
      </c>
      <c r="E19" s="132">
        <f t="shared" si="4"/>
        <v>14.18</v>
      </c>
      <c r="F19" s="132">
        <f t="shared" si="4"/>
        <v>9.4499999999999993</v>
      </c>
      <c r="G19" s="132">
        <f t="shared" si="4"/>
        <v>7.09</v>
      </c>
      <c r="H19" s="132">
        <f t="shared" si="4"/>
        <v>6.44</v>
      </c>
      <c r="I19" s="132">
        <f t="shared" si="4"/>
        <v>5.91</v>
      </c>
      <c r="J19" s="132">
        <f t="shared" si="4"/>
        <v>5.45</v>
      </c>
      <c r="K19" s="132">
        <f t="shared" si="4"/>
        <v>5.0599999999999996</v>
      </c>
      <c r="L19" s="140">
        <f t="shared" si="4"/>
        <v>4.7300000000000004</v>
      </c>
      <c r="M19" s="140">
        <f t="shared" si="4"/>
        <v>4.43</v>
      </c>
      <c r="N19" s="140">
        <f t="shared" si="4"/>
        <v>4.17</v>
      </c>
      <c r="O19" s="140">
        <f t="shared" si="5"/>
        <v>3.94</v>
      </c>
      <c r="P19" s="140">
        <f t="shared" si="5"/>
        <v>3.73</v>
      </c>
      <c r="Q19" s="132">
        <f t="shared" si="5"/>
        <v>3.54</v>
      </c>
      <c r="R19" s="132">
        <f t="shared" si="5"/>
        <v>3.38</v>
      </c>
      <c r="S19" s="132">
        <f t="shared" si="5"/>
        <v>3.22</v>
      </c>
      <c r="T19" s="132">
        <f t="shared" si="5"/>
        <v>3.08</v>
      </c>
      <c r="U19" s="132">
        <f t="shared" si="5"/>
        <v>2.95</v>
      </c>
      <c r="V19" s="132">
        <f t="shared" si="5"/>
        <v>2.84</v>
      </c>
      <c r="W19" s="132">
        <f t="shared" si="5"/>
        <v>2.73</v>
      </c>
      <c r="X19" s="132">
        <f t="shared" si="5"/>
        <v>2.63</v>
      </c>
      <c r="Y19" s="132">
        <f t="shared" si="5"/>
        <v>2.5299999999999998</v>
      </c>
      <c r="Z19" s="132">
        <f t="shared" si="5"/>
        <v>2.44</v>
      </c>
      <c r="AA19" s="141">
        <f t="shared" si="5"/>
        <v>2.36</v>
      </c>
      <c r="AB19" s="133"/>
      <c r="AC19" s="133"/>
    </row>
    <row r="20" spans="2:29">
      <c r="B20" s="138">
        <v>10</v>
      </c>
      <c r="C20" s="139">
        <f t="shared" si="0"/>
        <v>0.61653755826699685</v>
      </c>
      <c r="D20" s="139">
        <f t="shared" si="1"/>
        <v>0.78539816339744828</v>
      </c>
      <c r="E20" s="132">
        <f t="shared" si="4"/>
        <v>15.71</v>
      </c>
      <c r="F20" s="132">
        <f t="shared" si="4"/>
        <v>10.47</v>
      </c>
      <c r="G20" s="132">
        <f t="shared" si="4"/>
        <v>7.85</v>
      </c>
      <c r="H20" s="132">
        <f t="shared" si="4"/>
        <v>7.14</v>
      </c>
      <c r="I20" s="132">
        <f t="shared" si="4"/>
        <v>6.54</v>
      </c>
      <c r="J20" s="132">
        <f t="shared" si="4"/>
        <v>6.04</v>
      </c>
      <c r="K20" s="132">
        <f t="shared" si="4"/>
        <v>5.61</v>
      </c>
      <c r="L20" s="140">
        <f t="shared" si="4"/>
        <v>5.24</v>
      </c>
      <c r="M20" s="140">
        <f t="shared" si="4"/>
        <v>4.91</v>
      </c>
      <c r="N20" s="140">
        <f t="shared" si="4"/>
        <v>4.62</v>
      </c>
      <c r="O20" s="140">
        <f t="shared" si="5"/>
        <v>4.3600000000000003</v>
      </c>
      <c r="P20" s="140">
        <f t="shared" si="5"/>
        <v>4.13</v>
      </c>
      <c r="Q20" s="132">
        <f t="shared" si="5"/>
        <v>3.93</v>
      </c>
      <c r="R20" s="132">
        <f t="shared" si="5"/>
        <v>3.74</v>
      </c>
      <c r="S20" s="132">
        <f t="shared" si="5"/>
        <v>3.57</v>
      </c>
      <c r="T20" s="132">
        <f t="shared" si="5"/>
        <v>3.41</v>
      </c>
      <c r="U20" s="132">
        <f t="shared" si="5"/>
        <v>3.27</v>
      </c>
      <c r="V20" s="132">
        <f t="shared" si="5"/>
        <v>3.14</v>
      </c>
      <c r="W20" s="132">
        <f t="shared" si="5"/>
        <v>3.02</v>
      </c>
      <c r="X20" s="132">
        <f t="shared" si="5"/>
        <v>2.91</v>
      </c>
      <c r="Y20" s="132">
        <f t="shared" si="5"/>
        <v>2.8</v>
      </c>
      <c r="Z20" s="132">
        <f t="shared" si="5"/>
        <v>2.71</v>
      </c>
      <c r="AA20" s="141">
        <f t="shared" si="5"/>
        <v>2.62</v>
      </c>
      <c r="AB20" s="142"/>
    </row>
    <row r="21" spans="2:29">
      <c r="B21" s="138">
        <v>10.5</v>
      </c>
      <c r="C21" s="139">
        <f t="shared" si="0"/>
        <v>0.67973265798936422</v>
      </c>
      <c r="D21" s="139">
        <f t="shared" si="1"/>
        <v>0.86590147514568672</v>
      </c>
      <c r="E21" s="132">
        <f t="shared" si="4"/>
        <v>17.32</v>
      </c>
      <c r="F21" s="132">
        <f t="shared" si="4"/>
        <v>11.55</v>
      </c>
      <c r="G21" s="132">
        <f t="shared" si="4"/>
        <v>8.66</v>
      </c>
      <c r="H21" s="132">
        <f t="shared" si="4"/>
        <v>7.87</v>
      </c>
      <c r="I21" s="132">
        <f t="shared" si="4"/>
        <v>7.22</v>
      </c>
      <c r="J21" s="132">
        <f t="shared" si="4"/>
        <v>6.66</v>
      </c>
      <c r="K21" s="132">
        <f t="shared" si="4"/>
        <v>6.19</v>
      </c>
      <c r="L21" s="140">
        <f t="shared" si="4"/>
        <v>5.77</v>
      </c>
      <c r="M21" s="140">
        <f t="shared" si="4"/>
        <v>5.41</v>
      </c>
      <c r="N21" s="140">
        <f t="shared" si="4"/>
        <v>5.09</v>
      </c>
      <c r="O21" s="140">
        <f t="shared" si="5"/>
        <v>4.8099999999999996</v>
      </c>
      <c r="P21" s="140">
        <f t="shared" si="5"/>
        <v>4.5599999999999996</v>
      </c>
      <c r="Q21" s="132">
        <f t="shared" si="5"/>
        <v>4.33</v>
      </c>
      <c r="R21" s="132">
        <f t="shared" si="5"/>
        <v>4.12</v>
      </c>
      <c r="S21" s="132">
        <f t="shared" si="5"/>
        <v>3.94</v>
      </c>
      <c r="T21" s="132">
        <f t="shared" si="5"/>
        <v>3.76</v>
      </c>
      <c r="U21" s="132">
        <f t="shared" si="5"/>
        <v>3.61</v>
      </c>
      <c r="V21" s="132">
        <f t="shared" si="5"/>
        <v>3.46</v>
      </c>
      <c r="W21" s="132">
        <f t="shared" si="5"/>
        <v>3.33</v>
      </c>
      <c r="X21" s="132">
        <f t="shared" si="5"/>
        <v>3.21</v>
      </c>
      <c r="Y21" s="132">
        <f t="shared" si="5"/>
        <v>3.09</v>
      </c>
      <c r="Z21" s="132">
        <f t="shared" si="5"/>
        <v>2.99</v>
      </c>
      <c r="AA21" s="141">
        <f t="shared" si="5"/>
        <v>2.89</v>
      </c>
      <c r="AB21" s="142"/>
    </row>
    <row r="22" spans="2:29">
      <c r="B22" s="138">
        <v>11</v>
      </c>
      <c r="C22" s="139">
        <f t="shared" si="0"/>
        <v>0.74601044550306617</v>
      </c>
      <c r="D22" s="139">
        <f t="shared" si="1"/>
        <v>0.9503317777109126</v>
      </c>
      <c r="E22" s="132">
        <f t="shared" si="4"/>
        <v>19.010000000000002</v>
      </c>
      <c r="F22" s="132">
        <f t="shared" si="4"/>
        <v>12.67</v>
      </c>
      <c r="G22" s="132">
        <f t="shared" si="4"/>
        <v>9.5</v>
      </c>
      <c r="H22" s="132">
        <f t="shared" si="4"/>
        <v>8.64</v>
      </c>
      <c r="I22" s="132">
        <f t="shared" si="4"/>
        <v>7.92</v>
      </c>
      <c r="J22" s="132">
        <f t="shared" si="4"/>
        <v>7.31</v>
      </c>
      <c r="K22" s="132">
        <f t="shared" si="4"/>
        <v>6.79</v>
      </c>
      <c r="L22" s="140">
        <f t="shared" si="4"/>
        <v>6.34</v>
      </c>
      <c r="M22" s="140">
        <f t="shared" si="4"/>
        <v>5.94</v>
      </c>
      <c r="N22" s="140">
        <f t="shared" si="4"/>
        <v>5.59</v>
      </c>
      <c r="O22" s="140">
        <f t="shared" si="5"/>
        <v>5.28</v>
      </c>
      <c r="P22" s="140">
        <f t="shared" si="5"/>
        <v>5</v>
      </c>
      <c r="Q22" s="132">
        <f t="shared" si="5"/>
        <v>4.75</v>
      </c>
      <c r="R22" s="132">
        <f t="shared" si="5"/>
        <v>4.53</v>
      </c>
      <c r="S22" s="132">
        <f t="shared" si="5"/>
        <v>4.32</v>
      </c>
      <c r="T22" s="132">
        <f t="shared" si="5"/>
        <v>4.13</v>
      </c>
      <c r="U22" s="132">
        <f t="shared" si="5"/>
        <v>3.96</v>
      </c>
      <c r="V22" s="132">
        <f t="shared" si="5"/>
        <v>3.8</v>
      </c>
      <c r="W22" s="132">
        <f t="shared" si="5"/>
        <v>3.66</v>
      </c>
      <c r="X22" s="132">
        <f t="shared" si="5"/>
        <v>3.52</v>
      </c>
      <c r="Y22" s="132">
        <f t="shared" si="5"/>
        <v>3.39</v>
      </c>
      <c r="Z22" s="132">
        <f t="shared" si="5"/>
        <v>3.28</v>
      </c>
      <c r="AA22" s="141">
        <f t="shared" si="5"/>
        <v>3.17</v>
      </c>
      <c r="AB22" s="142"/>
    </row>
    <row r="23" spans="2:29">
      <c r="B23" s="138">
        <v>11.5</v>
      </c>
      <c r="C23" s="139">
        <f t="shared" si="0"/>
        <v>0.81537092080810336</v>
      </c>
      <c r="D23" s="139">
        <f t="shared" si="1"/>
        <v>1.0386890710931251</v>
      </c>
      <c r="E23" s="132">
        <f t="shared" si="4"/>
        <v>20.77</v>
      </c>
      <c r="F23" s="132">
        <f t="shared" si="4"/>
        <v>13.85</v>
      </c>
      <c r="G23" s="132">
        <f t="shared" si="4"/>
        <v>10.39</v>
      </c>
      <c r="H23" s="132">
        <f t="shared" si="4"/>
        <v>9.44</v>
      </c>
      <c r="I23" s="132">
        <f t="shared" si="4"/>
        <v>8.66</v>
      </c>
      <c r="J23" s="132">
        <f t="shared" si="4"/>
        <v>7.99</v>
      </c>
      <c r="K23" s="132">
        <f t="shared" si="4"/>
        <v>7.42</v>
      </c>
      <c r="L23" s="140">
        <f t="shared" si="4"/>
        <v>6.92</v>
      </c>
      <c r="M23" s="140">
        <f t="shared" si="4"/>
        <v>6.49</v>
      </c>
      <c r="N23" s="140">
        <f t="shared" si="4"/>
        <v>6.11</v>
      </c>
      <c r="O23" s="140">
        <f t="shared" si="5"/>
        <v>5.77</v>
      </c>
      <c r="P23" s="140">
        <f t="shared" si="5"/>
        <v>5.47</v>
      </c>
      <c r="Q23" s="132">
        <f t="shared" si="5"/>
        <v>5.19</v>
      </c>
      <c r="R23" s="132">
        <f t="shared" si="5"/>
        <v>4.95</v>
      </c>
      <c r="S23" s="132">
        <f t="shared" si="5"/>
        <v>4.72</v>
      </c>
      <c r="T23" s="132">
        <f t="shared" si="5"/>
        <v>4.5199999999999996</v>
      </c>
      <c r="U23" s="132">
        <f t="shared" si="5"/>
        <v>4.33</v>
      </c>
      <c r="V23" s="132">
        <f t="shared" si="5"/>
        <v>4.1500000000000004</v>
      </c>
      <c r="W23" s="132">
        <f t="shared" si="5"/>
        <v>3.99</v>
      </c>
      <c r="X23" s="132">
        <f t="shared" si="5"/>
        <v>3.85</v>
      </c>
      <c r="Y23" s="132">
        <f t="shared" si="5"/>
        <v>3.71</v>
      </c>
      <c r="Z23" s="132">
        <f t="shared" si="5"/>
        <v>3.58</v>
      </c>
      <c r="AA23" s="141">
        <f t="shared" si="5"/>
        <v>3.46</v>
      </c>
    </row>
    <row r="24" spans="2:29">
      <c r="B24" s="138">
        <v>12</v>
      </c>
      <c r="C24" s="139">
        <f t="shared" si="0"/>
        <v>0.88781408390447547</v>
      </c>
      <c r="D24" s="139">
        <f t="shared" si="1"/>
        <v>1.1309733552923256</v>
      </c>
      <c r="E24" s="132">
        <f t="shared" si="4"/>
        <v>22.62</v>
      </c>
      <c r="F24" s="132">
        <f t="shared" si="4"/>
        <v>15.08</v>
      </c>
      <c r="G24" s="132">
        <f t="shared" si="4"/>
        <v>11.31</v>
      </c>
      <c r="H24" s="132">
        <f t="shared" si="4"/>
        <v>10.28</v>
      </c>
      <c r="I24" s="132">
        <f t="shared" si="4"/>
        <v>9.42</v>
      </c>
      <c r="J24" s="132">
        <f t="shared" si="4"/>
        <v>8.6999999999999993</v>
      </c>
      <c r="K24" s="132">
        <f t="shared" si="4"/>
        <v>8.08</v>
      </c>
      <c r="L24" s="140">
        <f t="shared" si="4"/>
        <v>7.54</v>
      </c>
      <c r="M24" s="140">
        <f t="shared" si="4"/>
        <v>7.07</v>
      </c>
      <c r="N24" s="140">
        <f t="shared" si="4"/>
        <v>6.65</v>
      </c>
      <c r="O24" s="140">
        <f t="shared" si="5"/>
        <v>6.28</v>
      </c>
      <c r="P24" s="140">
        <f t="shared" si="5"/>
        <v>5.95</v>
      </c>
      <c r="Q24" s="132">
        <f t="shared" si="5"/>
        <v>5.65</v>
      </c>
      <c r="R24" s="132">
        <f t="shared" si="5"/>
        <v>5.39</v>
      </c>
      <c r="S24" s="132">
        <f t="shared" si="5"/>
        <v>5.14</v>
      </c>
      <c r="T24" s="132">
        <f t="shared" si="5"/>
        <v>4.92</v>
      </c>
      <c r="U24" s="132">
        <f t="shared" si="5"/>
        <v>4.71</v>
      </c>
      <c r="V24" s="132">
        <f t="shared" si="5"/>
        <v>4.5199999999999996</v>
      </c>
      <c r="W24" s="132">
        <f t="shared" si="5"/>
        <v>4.3499999999999996</v>
      </c>
      <c r="X24" s="132">
        <f t="shared" si="5"/>
        <v>4.1900000000000004</v>
      </c>
      <c r="Y24" s="132">
        <f t="shared" si="5"/>
        <v>4.04</v>
      </c>
      <c r="Z24" s="132">
        <f t="shared" si="5"/>
        <v>3.9</v>
      </c>
      <c r="AA24" s="141">
        <f t="shared" si="5"/>
        <v>3.77</v>
      </c>
    </row>
    <row r="25" spans="2:29">
      <c r="B25" s="138"/>
      <c r="C25" s="139">
        <f t="shared" si="0"/>
        <v>0</v>
      </c>
      <c r="D25" s="139">
        <f t="shared" si="1"/>
        <v>0</v>
      </c>
      <c r="E25" s="132">
        <f t="shared" si="4"/>
        <v>0</v>
      </c>
      <c r="F25" s="132">
        <f t="shared" si="4"/>
        <v>0</v>
      </c>
      <c r="G25" s="132">
        <f t="shared" si="4"/>
        <v>0</v>
      </c>
      <c r="H25" s="132">
        <f t="shared" si="4"/>
        <v>0</v>
      </c>
      <c r="I25" s="132">
        <f t="shared" si="4"/>
        <v>0</v>
      </c>
      <c r="J25" s="132">
        <f t="shared" si="4"/>
        <v>0</v>
      </c>
      <c r="K25" s="132">
        <f t="shared" si="4"/>
        <v>0</v>
      </c>
      <c r="L25" s="140">
        <f t="shared" si="4"/>
        <v>0</v>
      </c>
      <c r="M25" s="140">
        <f t="shared" si="4"/>
        <v>0</v>
      </c>
      <c r="N25" s="140">
        <f t="shared" si="4"/>
        <v>0</v>
      </c>
      <c r="O25" s="140">
        <f t="shared" si="5"/>
        <v>0</v>
      </c>
      <c r="P25" s="140">
        <f t="shared" si="5"/>
        <v>0</v>
      </c>
      <c r="Q25" s="132">
        <f t="shared" si="5"/>
        <v>0</v>
      </c>
      <c r="R25" s="132">
        <f t="shared" si="5"/>
        <v>0</v>
      </c>
      <c r="S25" s="132">
        <f t="shared" si="5"/>
        <v>0</v>
      </c>
      <c r="T25" s="132">
        <f t="shared" si="5"/>
        <v>0</v>
      </c>
      <c r="U25" s="132">
        <f t="shared" si="5"/>
        <v>0</v>
      </c>
      <c r="V25" s="132">
        <f t="shared" si="5"/>
        <v>0</v>
      </c>
      <c r="W25" s="132">
        <f t="shared" si="5"/>
        <v>0</v>
      </c>
      <c r="X25" s="132">
        <f t="shared" si="5"/>
        <v>0</v>
      </c>
      <c r="Y25" s="132">
        <f t="shared" si="5"/>
        <v>0</v>
      </c>
      <c r="Z25" s="132">
        <f t="shared" si="5"/>
        <v>0</v>
      </c>
      <c r="AA25" s="141">
        <f t="shared" si="5"/>
        <v>0</v>
      </c>
    </row>
    <row r="26" spans="2:29">
      <c r="B26" s="138"/>
      <c r="C26" s="139">
        <f t="shared" si="0"/>
        <v>0</v>
      </c>
      <c r="D26" s="139">
        <f t="shared" si="1"/>
        <v>0</v>
      </c>
      <c r="E26" s="132">
        <f t="shared" si="4"/>
        <v>0</v>
      </c>
      <c r="F26" s="132">
        <f t="shared" si="4"/>
        <v>0</v>
      </c>
      <c r="G26" s="132">
        <f t="shared" si="4"/>
        <v>0</v>
      </c>
      <c r="H26" s="132">
        <f t="shared" si="4"/>
        <v>0</v>
      </c>
      <c r="I26" s="132">
        <f t="shared" si="4"/>
        <v>0</v>
      </c>
      <c r="J26" s="132">
        <f t="shared" si="4"/>
        <v>0</v>
      </c>
      <c r="K26" s="132">
        <f t="shared" si="4"/>
        <v>0</v>
      </c>
      <c r="L26" s="140">
        <f t="shared" si="4"/>
        <v>0</v>
      </c>
      <c r="M26" s="140">
        <f t="shared" si="4"/>
        <v>0</v>
      </c>
      <c r="N26" s="140">
        <f t="shared" si="4"/>
        <v>0</v>
      </c>
      <c r="O26" s="140">
        <f t="shared" si="5"/>
        <v>0</v>
      </c>
      <c r="P26" s="140">
        <f t="shared" si="5"/>
        <v>0</v>
      </c>
      <c r="Q26" s="132">
        <f t="shared" si="5"/>
        <v>0</v>
      </c>
      <c r="R26" s="132">
        <f t="shared" si="5"/>
        <v>0</v>
      </c>
      <c r="S26" s="132">
        <f t="shared" si="5"/>
        <v>0</v>
      </c>
      <c r="T26" s="132">
        <f t="shared" si="5"/>
        <v>0</v>
      </c>
      <c r="U26" s="132">
        <f t="shared" si="5"/>
        <v>0</v>
      </c>
      <c r="V26" s="132">
        <f t="shared" si="5"/>
        <v>0</v>
      </c>
      <c r="W26" s="132">
        <f t="shared" si="5"/>
        <v>0</v>
      </c>
      <c r="X26" s="132">
        <f t="shared" si="5"/>
        <v>0</v>
      </c>
      <c r="Y26" s="132">
        <f t="shared" si="5"/>
        <v>0</v>
      </c>
      <c r="Z26" s="132">
        <f t="shared" si="5"/>
        <v>0</v>
      </c>
      <c r="AA26" s="141">
        <f t="shared" si="5"/>
        <v>0</v>
      </c>
    </row>
    <row r="27" spans="2:29">
      <c r="B27" s="138"/>
      <c r="C27" s="139">
        <f t="shared" si="0"/>
        <v>0</v>
      </c>
      <c r="D27" s="139">
        <f t="shared" si="1"/>
        <v>0</v>
      </c>
      <c r="E27" s="132">
        <f t="shared" si="4"/>
        <v>0</v>
      </c>
      <c r="F27" s="132">
        <f t="shared" si="4"/>
        <v>0</v>
      </c>
      <c r="G27" s="132">
        <f t="shared" si="4"/>
        <v>0</v>
      </c>
      <c r="H27" s="132">
        <f t="shared" si="4"/>
        <v>0</v>
      </c>
      <c r="I27" s="132">
        <f t="shared" si="4"/>
        <v>0</v>
      </c>
      <c r="J27" s="132">
        <f t="shared" si="4"/>
        <v>0</v>
      </c>
      <c r="K27" s="132">
        <f t="shared" si="4"/>
        <v>0</v>
      </c>
      <c r="L27" s="140">
        <f t="shared" si="4"/>
        <v>0</v>
      </c>
      <c r="M27" s="140">
        <f t="shared" si="4"/>
        <v>0</v>
      </c>
      <c r="N27" s="140">
        <f t="shared" si="4"/>
        <v>0</v>
      </c>
      <c r="O27" s="140">
        <f t="shared" si="5"/>
        <v>0</v>
      </c>
      <c r="P27" s="140">
        <f t="shared" si="5"/>
        <v>0</v>
      </c>
      <c r="Q27" s="132">
        <f t="shared" si="5"/>
        <v>0</v>
      </c>
      <c r="R27" s="132">
        <f t="shared" si="5"/>
        <v>0</v>
      </c>
      <c r="S27" s="132">
        <f t="shared" si="5"/>
        <v>0</v>
      </c>
      <c r="T27" s="132">
        <f t="shared" si="5"/>
        <v>0</v>
      </c>
      <c r="U27" s="132">
        <f t="shared" si="5"/>
        <v>0</v>
      </c>
      <c r="V27" s="132">
        <f t="shared" si="5"/>
        <v>0</v>
      </c>
      <c r="W27" s="132">
        <f t="shared" si="5"/>
        <v>0</v>
      </c>
      <c r="X27" s="132">
        <f t="shared" si="5"/>
        <v>0</v>
      </c>
      <c r="Y27" s="132">
        <f t="shared" si="5"/>
        <v>0</v>
      </c>
      <c r="Z27" s="132">
        <f t="shared" si="5"/>
        <v>0</v>
      </c>
      <c r="AA27" s="141">
        <f t="shared" si="5"/>
        <v>0</v>
      </c>
    </row>
    <row r="28" spans="2:29">
      <c r="B28" s="138"/>
      <c r="C28" s="139">
        <f t="shared" si="0"/>
        <v>0</v>
      </c>
      <c r="D28" s="139">
        <f t="shared" si="1"/>
        <v>0</v>
      </c>
      <c r="E28" s="132">
        <f t="shared" si="4"/>
        <v>0</v>
      </c>
      <c r="F28" s="132">
        <f t="shared" si="4"/>
        <v>0</v>
      </c>
      <c r="G28" s="132">
        <f t="shared" si="4"/>
        <v>0</v>
      </c>
      <c r="H28" s="132">
        <f t="shared" si="4"/>
        <v>0</v>
      </c>
      <c r="I28" s="132">
        <f t="shared" si="4"/>
        <v>0</v>
      </c>
      <c r="J28" s="132">
        <f t="shared" si="4"/>
        <v>0</v>
      </c>
      <c r="K28" s="132">
        <f t="shared" si="4"/>
        <v>0</v>
      </c>
      <c r="L28" s="140">
        <f t="shared" si="4"/>
        <v>0</v>
      </c>
      <c r="M28" s="140">
        <f t="shared" si="4"/>
        <v>0</v>
      </c>
      <c r="N28" s="140">
        <f t="shared" si="4"/>
        <v>0</v>
      </c>
      <c r="O28" s="140">
        <f t="shared" si="5"/>
        <v>0</v>
      </c>
      <c r="P28" s="140">
        <f t="shared" si="5"/>
        <v>0</v>
      </c>
      <c r="Q28" s="132">
        <f t="shared" si="5"/>
        <v>0</v>
      </c>
      <c r="R28" s="132">
        <f t="shared" si="5"/>
        <v>0</v>
      </c>
      <c r="S28" s="132">
        <f t="shared" si="5"/>
        <v>0</v>
      </c>
      <c r="T28" s="132">
        <f t="shared" si="5"/>
        <v>0</v>
      </c>
      <c r="U28" s="132">
        <f t="shared" si="5"/>
        <v>0</v>
      </c>
      <c r="V28" s="132">
        <f t="shared" si="5"/>
        <v>0</v>
      </c>
      <c r="W28" s="132">
        <f t="shared" si="5"/>
        <v>0</v>
      </c>
      <c r="X28" s="132">
        <f t="shared" si="5"/>
        <v>0</v>
      </c>
      <c r="Y28" s="132">
        <f t="shared" si="5"/>
        <v>0</v>
      </c>
      <c r="Z28" s="132">
        <f t="shared" si="5"/>
        <v>0</v>
      </c>
      <c r="AA28" s="141">
        <f t="shared" si="5"/>
        <v>0</v>
      </c>
    </row>
    <row r="29" spans="2:29">
      <c r="B29" s="138"/>
      <c r="C29" s="139">
        <f t="shared" si="0"/>
        <v>0</v>
      </c>
      <c r="D29" s="139">
        <f t="shared" si="1"/>
        <v>0</v>
      </c>
      <c r="E29" s="132">
        <f t="shared" si="4"/>
        <v>0</v>
      </c>
      <c r="F29" s="132">
        <f t="shared" si="4"/>
        <v>0</v>
      </c>
      <c r="G29" s="132">
        <f t="shared" si="4"/>
        <v>0</v>
      </c>
      <c r="H29" s="132">
        <f t="shared" si="4"/>
        <v>0</v>
      </c>
      <c r="I29" s="132">
        <f t="shared" si="4"/>
        <v>0</v>
      </c>
      <c r="J29" s="132">
        <f t="shared" si="4"/>
        <v>0</v>
      </c>
      <c r="K29" s="132">
        <f t="shared" si="4"/>
        <v>0</v>
      </c>
      <c r="L29" s="140">
        <f t="shared" si="4"/>
        <v>0</v>
      </c>
      <c r="M29" s="140">
        <f t="shared" si="4"/>
        <v>0</v>
      </c>
      <c r="N29" s="140">
        <f t="shared" si="4"/>
        <v>0</v>
      </c>
      <c r="O29" s="140">
        <f t="shared" si="5"/>
        <v>0</v>
      </c>
      <c r="P29" s="140">
        <f t="shared" si="5"/>
        <v>0</v>
      </c>
      <c r="Q29" s="132">
        <f t="shared" si="5"/>
        <v>0</v>
      </c>
      <c r="R29" s="132">
        <f t="shared" si="5"/>
        <v>0</v>
      </c>
      <c r="S29" s="132">
        <f t="shared" si="5"/>
        <v>0</v>
      </c>
      <c r="T29" s="132">
        <f t="shared" si="5"/>
        <v>0</v>
      </c>
      <c r="U29" s="132">
        <f t="shared" si="5"/>
        <v>0</v>
      </c>
      <c r="V29" s="132">
        <f t="shared" si="5"/>
        <v>0</v>
      </c>
      <c r="W29" s="132">
        <f t="shared" si="5"/>
        <v>0</v>
      </c>
      <c r="X29" s="132">
        <f t="shared" si="5"/>
        <v>0</v>
      </c>
      <c r="Y29" s="132">
        <f t="shared" si="5"/>
        <v>0</v>
      </c>
      <c r="Z29" s="132">
        <f t="shared" si="5"/>
        <v>0</v>
      </c>
      <c r="AA29" s="141">
        <f t="shared" si="5"/>
        <v>0</v>
      </c>
    </row>
    <row r="30" spans="2:29">
      <c r="B30" s="143"/>
      <c r="C30" s="144">
        <f t="shared" si="0"/>
        <v>0</v>
      </c>
      <c r="D30" s="144">
        <f t="shared" si="1"/>
        <v>0</v>
      </c>
      <c r="E30" s="145">
        <f t="shared" si="4"/>
        <v>0</v>
      </c>
      <c r="F30" s="145">
        <f t="shared" si="4"/>
        <v>0</v>
      </c>
      <c r="G30" s="145">
        <f t="shared" si="4"/>
        <v>0</v>
      </c>
      <c r="H30" s="145">
        <f t="shared" si="4"/>
        <v>0</v>
      </c>
      <c r="I30" s="145">
        <f t="shared" si="4"/>
        <v>0</v>
      </c>
      <c r="J30" s="145">
        <f t="shared" si="4"/>
        <v>0</v>
      </c>
      <c r="K30" s="145">
        <f t="shared" si="4"/>
        <v>0</v>
      </c>
      <c r="L30" s="146">
        <f t="shared" si="4"/>
        <v>0</v>
      </c>
      <c r="M30" s="146">
        <f t="shared" si="4"/>
        <v>0</v>
      </c>
      <c r="N30" s="146">
        <f t="shared" si="4"/>
        <v>0</v>
      </c>
      <c r="O30" s="146">
        <f t="shared" si="5"/>
        <v>0</v>
      </c>
      <c r="P30" s="146">
        <f t="shared" si="5"/>
        <v>0</v>
      </c>
      <c r="Q30" s="145">
        <f t="shared" si="5"/>
        <v>0</v>
      </c>
      <c r="R30" s="145">
        <f t="shared" si="5"/>
        <v>0</v>
      </c>
      <c r="S30" s="145">
        <f t="shared" si="5"/>
        <v>0</v>
      </c>
      <c r="T30" s="145">
        <f t="shared" si="5"/>
        <v>0</v>
      </c>
      <c r="U30" s="145">
        <f t="shared" si="5"/>
        <v>0</v>
      </c>
      <c r="V30" s="145">
        <f t="shared" si="5"/>
        <v>0</v>
      </c>
      <c r="W30" s="145">
        <f t="shared" si="5"/>
        <v>0</v>
      </c>
      <c r="X30" s="145">
        <f t="shared" si="5"/>
        <v>0</v>
      </c>
      <c r="Y30" s="145">
        <f t="shared" si="5"/>
        <v>0</v>
      </c>
      <c r="Z30" s="145">
        <f t="shared" si="5"/>
        <v>0</v>
      </c>
      <c r="AA30" s="147">
        <f t="shared" si="5"/>
        <v>0</v>
      </c>
    </row>
    <row r="31" spans="2:29">
      <c r="G31" s="148"/>
      <c r="H31" s="148"/>
      <c r="I31" s="148"/>
      <c r="J31" s="148"/>
      <c r="K31" s="148"/>
      <c r="L31" s="148"/>
      <c r="M31" s="148"/>
      <c r="N31" s="148"/>
      <c r="O31" s="148"/>
      <c r="P31" s="148"/>
    </row>
    <row r="32" spans="2:29">
      <c r="G32" s="148"/>
      <c r="H32" s="148"/>
      <c r="I32" s="148"/>
      <c r="J32" s="148"/>
      <c r="K32" s="148"/>
      <c r="L32" s="148"/>
      <c r="M32" s="148"/>
      <c r="N32" s="148"/>
      <c r="O32" s="148"/>
      <c r="P32" s="148"/>
    </row>
    <row r="33" spans="7:16">
      <c r="G33" s="148"/>
      <c r="H33" s="148"/>
      <c r="I33" s="148"/>
      <c r="J33" s="148"/>
      <c r="K33" s="148"/>
      <c r="L33" s="148"/>
      <c r="M33" s="148"/>
      <c r="N33" s="148"/>
      <c r="O33" s="148"/>
      <c r="P33" s="148"/>
    </row>
  </sheetData>
  <customSheetViews>
    <customSheetView guid="{C0BE45DA-73C0-4B1E-ABFB-A0FAB57D4E46}" showGridLines="0" zeroValues="0" showRuler="0">
      <selection activeCell="B2" sqref="B2:B4"/>
      <pageMargins left="0.55118110236220474" right="0.35433070866141736" top="0.98425196850393704" bottom="0.59055118110236227" header="0.51181102362204722" footer="0.51181102362204722"/>
      <pageSetup paperSize="9" scale="80" orientation="landscape" r:id="rId1"/>
      <headerFooter alignWithMargins="0"/>
    </customSheetView>
  </customSheetViews>
  <mergeCells count="6">
    <mergeCell ref="E4:AA4"/>
    <mergeCell ref="E2:AA2"/>
    <mergeCell ref="E3:AA3"/>
    <mergeCell ref="B2:B4"/>
    <mergeCell ref="C2:C4"/>
    <mergeCell ref="D2:D4"/>
  </mergeCells>
  <phoneticPr fontId="2" type="noConversion"/>
  <pageMargins left="0.94488188976377963" right="0.35433070866141736" top="0.98425196850393704" bottom="0.39370078740157483" header="0.51181102362204722" footer="0.51181102362204722"/>
  <pageSetup paperSize="9" scale="75" orientation="landscape" r:id="rId2"/>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8"/>
  </sheetPr>
  <dimension ref="B1:AF85"/>
  <sheetViews>
    <sheetView showGridLines="0" workbookViewId="0">
      <selection activeCell="B28" sqref="B28:N28"/>
    </sheetView>
  </sheetViews>
  <sheetFormatPr defaultRowHeight="13.2"/>
  <cols>
    <col min="1" max="1" width="2.6640625" customWidth="1"/>
    <col min="2" max="2" width="12.6640625" customWidth="1"/>
    <col min="3" max="13" width="8.6640625" customWidth="1"/>
  </cols>
  <sheetData>
    <row r="1" spans="2:27" ht="20.100000000000001" customHeight="1" thickBot="1">
      <c r="B1" s="509" t="s">
        <v>579</v>
      </c>
      <c r="C1" s="509"/>
      <c r="D1" s="509"/>
      <c r="E1" s="509"/>
      <c r="F1" s="509"/>
      <c r="G1" s="509"/>
      <c r="H1" s="509"/>
      <c r="I1" s="509"/>
      <c r="J1" s="509"/>
      <c r="K1" s="509"/>
      <c r="L1" s="509"/>
      <c r="M1" s="509"/>
      <c r="P1" s="507" t="s">
        <v>587</v>
      </c>
      <c r="Q1" s="507"/>
      <c r="R1" s="507"/>
      <c r="S1" s="507"/>
      <c r="T1" s="507"/>
      <c r="U1" s="507"/>
      <c r="V1" s="507"/>
      <c r="W1" s="507"/>
      <c r="X1" s="507"/>
      <c r="Y1" s="507"/>
      <c r="Z1" s="507"/>
      <c r="AA1" s="507"/>
    </row>
    <row r="2" spans="2:27" ht="15" customHeight="1" thickTop="1">
      <c r="B2" s="149" t="s">
        <v>10</v>
      </c>
      <c r="C2" s="150" t="s">
        <v>0</v>
      </c>
      <c r="D2" s="456" t="s">
        <v>578</v>
      </c>
      <c r="E2" s="456"/>
      <c r="F2" s="456"/>
      <c r="G2" s="456"/>
      <c r="H2" s="456"/>
      <c r="I2" s="456"/>
      <c r="J2" s="456"/>
      <c r="K2" s="456"/>
      <c r="L2" s="456"/>
      <c r="M2" s="457"/>
      <c r="P2" s="584" t="s">
        <v>584</v>
      </c>
      <c r="Q2" s="588" t="s">
        <v>588</v>
      </c>
      <c r="R2" s="589"/>
      <c r="S2" s="185" t="s">
        <v>589</v>
      </c>
      <c r="T2" s="186"/>
      <c r="U2" s="186"/>
      <c r="V2" s="186"/>
      <c r="W2" s="186"/>
      <c r="X2" s="186"/>
      <c r="Y2" s="186"/>
      <c r="Z2" s="186"/>
      <c r="AA2" s="151" t="s">
        <v>590</v>
      </c>
    </row>
    <row r="3" spans="2:27" ht="15" customHeight="1">
      <c r="B3" s="67" t="s">
        <v>22</v>
      </c>
      <c r="C3" s="15" t="s">
        <v>1</v>
      </c>
      <c r="D3" s="15">
        <v>1</v>
      </c>
      <c r="E3" s="15">
        <v>2</v>
      </c>
      <c r="F3" s="15">
        <v>3</v>
      </c>
      <c r="G3" s="15">
        <v>4</v>
      </c>
      <c r="H3" s="15">
        <v>5</v>
      </c>
      <c r="I3" s="15">
        <v>6</v>
      </c>
      <c r="J3" s="15">
        <v>7</v>
      </c>
      <c r="K3" s="15">
        <v>8</v>
      </c>
      <c r="L3" s="15">
        <v>9</v>
      </c>
      <c r="M3" s="16">
        <v>10</v>
      </c>
      <c r="P3" s="585"/>
      <c r="Q3" s="586" t="s">
        <v>586</v>
      </c>
      <c r="R3" s="587"/>
      <c r="S3" s="587"/>
      <c r="T3" s="587"/>
      <c r="U3" s="587"/>
      <c r="V3" s="587"/>
      <c r="W3" s="587"/>
      <c r="X3" s="587"/>
      <c r="Y3" s="587"/>
      <c r="Z3" s="587"/>
      <c r="AA3" s="574" t="s">
        <v>578</v>
      </c>
    </row>
    <row r="4" spans="2:27" ht="15" customHeight="1" thickBot="1">
      <c r="B4" s="67">
        <v>6</v>
      </c>
      <c r="C4" s="7">
        <f t="shared" ref="C4:C26" si="0">(0.785)*(PI()*(B4/10)^2)/4</f>
        <v>0.2219535209761189</v>
      </c>
      <c r="D4" s="19">
        <f t="shared" ref="D4:E26" si="1">(PI()*($B4/10)^2)*D$3/4</f>
        <v>0.28274333882308139</v>
      </c>
      <c r="E4" s="19">
        <f t="shared" si="1"/>
        <v>0.56548667764616278</v>
      </c>
      <c r="F4" s="19">
        <f t="shared" ref="F4:M19" si="2">(PI()*($B4/10)^2)*F$3/4</f>
        <v>0.84823001646924423</v>
      </c>
      <c r="G4" s="19">
        <f t="shared" si="2"/>
        <v>1.1309733552923256</v>
      </c>
      <c r="H4" s="19">
        <f t="shared" si="2"/>
        <v>1.4137166941154069</v>
      </c>
      <c r="I4" s="19">
        <f t="shared" si="2"/>
        <v>1.6964600329384885</v>
      </c>
      <c r="J4" s="19">
        <f t="shared" si="2"/>
        <v>1.9792033717615698</v>
      </c>
      <c r="K4" s="19">
        <f t="shared" si="2"/>
        <v>2.2619467105846511</v>
      </c>
      <c r="L4" s="19">
        <f t="shared" si="2"/>
        <v>2.5446900494077327</v>
      </c>
      <c r="M4" s="173">
        <f t="shared" si="2"/>
        <v>2.8274333882308138</v>
      </c>
      <c r="P4" s="69" t="s">
        <v>585</v>
      </c>
      <c r="Q4" s="184">
        <v>6</v>
      </c>
      <c r="R4" s="184">
        <v>8</v>
      </c>
      <c r="S4" s="184">
        <v>10</v>
      </c>
      <c r="T4" s="184">
        <v>12</v>
      </c>
      <c r="U4" s="184">
        <v>14</v>
      </c>
      <c r="V4" s="184">
        <v>16</v>
      </c>
      <c r="W4" s="184">
        <v>18</v>
      </c>
      <c r="X4" s="184">
        <v>20</v>
      </c>
      <c r="Y4" s="184">
        <v>22</v>
      </c>
      <c r="Z4" s="187">
        <v>24</v>
      </c>
      <c r="AA4" s="575"/>
    </row>
    <row r="5" spans="2:27" ht="15" customHeight="1" thickTop="1">
      <c r="B5" s="67">
        <v>8</v>
      </c>
      <c r="C5" s="7">
        <f t="shared" si="0"/>
        <v>0.39458403729087804</v>
      </c>
      <c r="D5" s="19">
        <f t="shared" si="1"/>
        <v>0.50265482457436694</v>
      </c>
      <c r="E5" s="19">
        <f t="shared" si="1"/>
        <v>1.0053096491487339</v>
      </c>
      <c r="F5" s="19">
        <f t="shared" si="2"/>
        <v>1.5079644737231008</v>
      </c>
      <c r="G5" s="19">
        <f t="shared" si="2"/>
        <v>2.0106192982974678</v>
      </c>
      <c r="H5" s="19">
        <f t="shared" si="2"/>
        <v>2.5132741228718345</v>
      </c>
      <c r="I5" s="19">
        <f t="shared" si="2"/>
        <v>3.0159289474462017</v>
      </c>
      <c r="J5" s="19">
        <f t="shared" si="2"/>
        <v>3.5185837720205688</v>
      </c>
      <c r="K5" s="19">
        <f t="shared" si="2"/>
        <v>4.0212385965949355</v>
      </c>
      <c r="L5" s="19">
        <f t="shared" si="2"/>
        <v>4.5238934211693023</v>
      </c>
      <c r="M5" s="173">
        <f t="shared" si="2"/>
        <v>5.026548245743669</v>
      </c>
      <c r="P5" s="180">
        <v>7</v>
      </c>
      <c r="Q5" s="181">
        <f>100*(PI()*(Q$4/10)^2)/$P5/4</f>
        <v>4.0391905546154483</v>
      </c>
      <c r="R5" s="181">
        <f>100*(PI()*(R$4/10)^2)/$P5/4</f>
        <v>7.1807832082052423</v>
      </c>
      <c r="S5" s="181">
        <f t="shared" ref="S5:Z20" si="3">100*(PI()*(S$4/10)^2)/$P5/4</f>
        <v>11.21997376282069</v>
      </c>
      <c r="T5" s="181">
        <f t="shared" si="3"/>
        <v>16.156762218461793</v>
      </c>
      <c r="U5" s="181">
        <f t="shared" si="3"/>
        <v>21.991148575128545</v>
      </c>
      <c r="V5" s="181">
        <f t="shared" si="3"/>
        <v>28.723132832820969</v>
      </c>
      <c r="W5" s="181">
        <f t="shared" si="3"/>
        <v>36.352714991539038</v>
      </c>
      <c r="X5" s="181">
        <f t="shared" si="3"/>
        <v>44.879895051282759</v>
      </c>
      <c r="Y5" s="181">
        <f t="shared" si="3"/>
        <v>54.304673012052149</v>
      </c>
      <c r="Z5" s="181">
        <f t="shared" si="3"/>
        <v>64.627048873847173</v>
      </c>
      <c r="AA5" s="188">
        <f>100/P5</f>
        <v>14.285714285714286</v>
      </c>
    </row>
    <row r="6" spans="2:27" ht="15" customHeight="1">
      <c r="B6" s="67">
        <v>10</v>
      </c>
      <c r="C6" s="7">
        <f t="shared" si="0"/>
        <v>0.61653755826699697</v>
      </c>
      <c r="D6" s="19">
        <f t="shared" si="1"/>
        <v>0.78539816339744828</v>
      </c>
      <c r="E6" s="19">
        <f t="shared" si="1"/>
        <v>1.5707963267948966</v>
      </c>
      <c r="F6" s="19">
        <f t="shared" si="2"/>
        <v>2.3561944901923448</v>
      </c>
      <c r="G6" s="19">
        <f t="shared" si="2"/>
        <v>3.1415926535897931</v>
      </c>
      <c r="H6" s="19">
        <f t="shared" si="2"/>
        <v>3.9269908169872414</v>
      </c>
      <c r="I6" s="19">
        <f t="shared" si="2"/>
        <v>4.7123889803846897</v>
      </c>
      <c r="J6" s="19">
        <f t="shared" si="2"/>
        <v>5.497787143782138</v>
      </c>
      <c r="K6" s="19">
        <f t="shared" si="2"/>
        <v>6.2831853071795862</v>
      </c>
      <c r="L6" s="19">
        <f t="shared" si="2"/>
        <v>7.0685834705770345</v>
      </c>
      <c r="M6" s="173">
        <f t="shared" si="2"/>
        <v>7.8539816339744828</v>
      </c>
      <c r="P6" s="182">
        <v>7.5</v>
      </c>
      <c r="Q6" s="19">
        <f t="shared" ref="Q6:Z41" si="4">100*(PI()*(Q$4/10)^2)/$P6/4</f>
        <v>3.7699111843077517</v>
      </c>
      <c r="R6" s="19">
        <f t="shared" si="4"/>
        <v>6.7020643276582259</v>
      </c>
      <c r="S6" s="19">
        <f t="shared" si="3"/>
        <v>10.471975511965978</v>
      </c>
      <c r="T6" s="19">
        <f t="shared" si="3"/>
        <v>15.079644737231007</v>
      </c>
      <c r="U6" s="19">
        <f t="shared" si="3"/>
        <v>20.52507200345331</v>
      </c>
      <c r="V6" s="19">
        <f t="shared" si="3"/>
        <v>26.808257310632904</v>
      </c>
      <c r="W6" s="19">
        <f t="shared" si="3"/>
        <v>33.929200658769766</v>
      </c>
      <c r="X6" s="19">
        <f t="shared" si="3"/>
        <v>41.887902047863911</v>
      </c>
      <c r="Y6" s="19">
        <f t="shared" si="3"/>
        <v>50.684361477915338</v>
      </c>
      <c r="Z6" s="19">
        <f t="shared" si="3"/>
        <v>60.318578948924028</v>
      </c>
      <c r="AA6" s="189">
        <f t="shared" ref="AA6:AA41" si="5">100/P6</f>
        <v>13.333333333333334</v>
      </c>
    </row>
    <row r="7" spans="2:27" ht="15" customHeight="1">
      <c r="B7" s="67">
        <v>12</v>
      </c>
      <c r="C7" s="7">
        <f t="shared" si="0"/>
        <v>0.88781408390447558</v>
      </c>
      <c r="D7" s="19">
        <f t="shared" si="1"/>
        <v>1.1309733552923256</v>
      </c>
      <c r="E7" s="19">
        <f t="shared" si="1"/>
        <v>2.2619467105846511</v>
      </c>
      <c r="F7" s="19">
        <f t="shared" si="2"/>
        <v>3.3929200658769769</v>
      </c>
      <c r="G7" s="19">
        <f t="shared" si="2"/>
        <v>4.5238934211693023</v>
      </c>
      <c r="H7" s="19">
        <f t="shared" si="2"/>
        <v>5.6548667764616276</v>
      </c>
      <c r="I7" s="19">
        <f t="shared" si="2"/>
        <v>6.7858401317539538</v>
      </c>
      <c r="J7" s="19">
        <f t="shared" si="2"/>
        <v>7.9168134870462792</v>
      </c>
      <c r="K7" s="19">
        <f t="shared" si="2"/>
        <v>9.0477868423386045</v>
      </c>
      <c r="L7" s="19">
        <f t="shared" si="2"/>
        <v>10.178760197630931</v>
      </c>
      <c r="M7" s="173">
        <f t="shared" si="2"/>
        <v>11.309733552923255</v>
      </c>
      <c r="P7" s="182">
        <v>8</v>
      </c>
      <c r="Q7" s="19">
        <f t="shared" si="4"/>
        <v>3.5342917352885173</v>
      </c>
      <c r="R7" s="19">
        <f t="shared" si="4"/>
        <v>6.2831853071795871</v>
      </c>
      <c r="S7" s="19">
        <f t="shared" si="3"/>
        <v>9.8174770424681039</v>
      </c>
      <c r="T7" s="19">
        <f t="shared" si="3"/>
        <v>14.137166941154069</v>
      </c>
      <c r="U7" s="19">
        <f t="shared" si="3"/>
        <v>19.242255003237478</v>
      </c>
      <c r="V7" s="19">
        <f t="shared" si="3"/>
        <v>25.132741228718348</v>
      </c>
      <c r="W7" s="19">
        <f t="shared" si="3"/>
        <v>31.808625617596658</v>
      </c>
      <c r="X7" s="19">
        <f t="shared" si="3"/>
        <v>39.269908169872416</v>
      </c>
      <c r="Y7" s="19">
        <f t="shared" si="3"/>
        <v>47.51658888554563</v>
      </c>
      <c r="Z7" s="19">
        <f t="shared" si="3"/>
        <v>56.548667764616276</v>
      </c>
      <c r="AA7" s="189">
        <f t="shared" si="5"/>
        <v>12.5</v>
      </c>
    </row>
    <row r="8" spans="2:27" ht="15" customHeight="1">
      <c r="B8" s="67">
        <v>14</v>
      </c>
      <c r="C8" s="7">
        <f t="shared" si="0"/>
        <v>1.2084136142033137</v>
      </c>
      <c r="D8" s="19">
        <f t="shared" si="1"/>
        <v>1.5393804002589984</v>
      </c>
      <c r="E8" s="19">
        <f t="shared" si="1"/>
        <v>3.0787608005179967</v>
      </c>
      <c r="F8" s="19">
        <f t="shared" si="2"/>
        <v>4.6181412007769946</v>
      </c>
      <c r="G8" s="19">
        <f t="shared" si="2"/>
        <v>6.1575216010359934</v>
      </c>
      <c r="H8" s="19">
        <f t="shared" si="2"/>
        <v>7.6969020012949922</v>
      </c>
      <c r="I8" s="19">
        <f t="shared" si="2"/>
        <v>9.2362824015539893</v>
      </c>
      <c r="J8" s="19">
        <f t="shared" si="2"/>
        <v>10.775662801812988</v>
      </c>
      <c r="K8" s="19">
        <f t="shared" si="2"/>
        <v>12.315043202071987</v>
      </c>
      <c r="L8" s="19">
        <f t="shared" si="2"/>
        <v>13.854423602330986</v>
      </c>
      <c r="M8" s="173">
        <f t="shared" si="2"/>
        <v>15.393804002589984</v>
      </c>
      <c r="P8" s="182">
        <v>8.5</v>
      </c>
      <c r="Q8" s="19">
        <f t="shared" si="4"/>
        <v>3.3263922214480162</v>
      </c>
      <c r="R8" s="19">
        <f t="shared" si="4"/>
        <v>5.913586171463141</v>
      </c>
      <c r="S8" s="19">
        <f t="shared" si="3"/>
        <v>9.2399783929111567</v>
      </c>
      <c r="T8" s="19">
        <f t="shared" si="3"/>
        <v>13.305568885792065</v>
      </c>
      <c r="U8" s="19">
        <f t="shared" si="3"/>
        <v>18.110357650105861</v>
      </c>
      <c r="V8" s="19">
        <f t="shared" si="3"/>
        <v>23.654344685852564</v>
      </c>
      <c r="W8" s="19">
        <f t="shared" si="3"/>
        <v>29.937529993032147</v>
      </c>
      <c r="X8" s="19">
        <f t="shared" si="3"/>
        <v>36.959913571644627</v>
      </c>
      <c r="Y8" s="19">
        <f t="shared" si="3"/>
        <v>44.721495421690008</v>
      </c>
      <c r="Z8" s="19">
        <f t="shared" si="3"/>
        <v>53.222275543168259</v>
      </c>
      <c r="AA8" s="189">
        <f t="shared" si="5"/>
        <v>11.764705882352942</v>
      </c>
    </row>
    <row r="9" spans="2:27" ht="15" customHeight="1">
      <c r="B9" s="67">
        <v>16</v>
      </c>
      <c r="C9" s="7">
        <f t="shared" si="0"/>
        <v>1.5783361491635122</v>
      </c>
      <c r="D9" s="19">
        <f t="shared" si="1"/>
        <v>2.0106192982974678</v>
      </c>
      <c r="E9" s="19">
        <f t="shared" si="1"/>
        <v>4.0212385965949355</v>
      </c>
      <c r="F9" s="19">
        <f t="shared" si="2"/>
        <v>6.0318578948924033</v>
      </c>
      <c r="G9" s="19">
        <f t="shared" si="2"/>
        <v>8.0424771931898711</v>
      </c>
      <c r="H9" s="19">
        <f t="shared" si="2"/>
        <v>10.053096491487338</v>
      </c>
      <c r="I9" s="19">
        <f t="shared" si="2"/>
        <v>12.063715789784807</v>
      </c>
      <c r="J9" s="19">
        <f t="shared" si="2"/>
        <v>14.074335088082275</v>
      </c>
      <c r="K9" s="19">
        <f t="shared" si="2"/>
        <v>16.084954386379742</v>
      </c>
      <c r="L9" s="19">
        <f t="shared" si="2"/>
        <v>18.095573684677209</v>
      </c>
      <c r="M9" s="173">
        <f t="shared" si="2"/>
        <v>20.106192982974676</v>
      </c>
      <c r="P9" s="182">
        <v>9</v>
      </c>
      <c r="Q9" s="19">
        <f t="shared" si="4"/>
        <v>3.1415926535897931</v>
      </c>
      <c r="R9" s="19">
        <f t="shared" si="4"/>
        <v>5.5850536063818552</v>
      </c>
      <c r="S9" s="19">
        <f t="shared" si="3"/>
        <v>8.7266462599716483</v>
      </c>
      <c r="T9" s="19">
        <f t="shared" si="3"/>
        <v>12.566370614359172</v>
      </c>
      <c r="U9" s="19">
        <f t="shared" si="3"/>
        <v>17.104226669544424</v>
      </c>
      <c r="V9" s="19">
        <f t="shared" si="3"/>
        <v>22.340214425527421</v>
      </c>
      <c r="W9" s="19">
        <f t="shared" si="3"/>
        <v>28.274333882308142</v>
      </c>
      <c r="X9" s="19">
        <f t="shared" si="3"/>
        <v>34.906585039886593</v>
      </c>
      <c r="Y9" s="19">
        <f t="shared" si="3"/>
        <v>42.236967898262783</v>
      </c>
      <c r="Z9" s="19">
        <f t="shared" si="3"/>
        <v>50.26548245743669</v>
      </c>
      <c r="AA9" s="189">
        <f t="shared" si="5"/>
        <v>11.111111111111111</v>
      </c>
    </row>
    <row r="10" spans="2:27" ht="15" customHeight="1">
      <c r="B10" s="67">
        <v>18</v>
      </c>
      <c r="C10" s="7">
        <f t="shared" si="0"/>
        <v>1.9975816887850701</v>
      </c>
      <c r="D10" s="19">
        <f t="shared" si="1"/>
        <v>2.5446900494077327</v>
      </c>
      <c r="E10" s="19">
        <f t="shared" si="1"/>
        <v>5.0893800988154654</v>
      </c>
      <c r="F10" s="19">
        <f t="shared" si="2"/>
        <v>7.6340701482231985</v>
      </c>
      <c r="G10" s="19">
        <f t="shared" si="2"/>
        <v>10.178760197630931</v>
      </c>
      <c r="H10" s="19">
        <f t="shared" si="2"/>
        <v>12.723450247038663</v>
      </c>
      <c r="I10" s="19">
        <f t="shared" si="2"/>
        <v>15.268140296446397</v>
      </c>
      <c r="J10" s="19">
        <f t="shared" si="2"/>
        <v>17.812830345854128</v>
      </c>
      <c r="K10" s="19">
        <f t="shared" si="2"/>
        <v>20.357520395261862</v>
      </c>
      <c r="L10" s="19">
        <f t="shared" si="2"/>
        <v>22.902210444669596</v>
      </c>
      <c r="M10" s="173">
        <f t="shared" si="2"/>
        <v>25.446900494077326</v>
      </c>
      <c r="P10" s="182">
        <v>9.5</v>
      </c>
      <c r="Q10" s="19">
        <f t="shared" si="4"/>
        <v>2.9762456718219092</v>
      </c>
      <c r="R10" s="19">
        <f t="shared" si="4"/>
        <v>5.2911034165722839</v>
      </c>
      <c r="S10" s="19">
        <f t="shared" si="3"/>
        <v>8.2673490883941927</v>
      </c>
      <c r="T10" s="19">
        <f t="shared" si="3"/>
        <v>11.904982687287637</v>
      </c>
      <c r="U10" s="19">
        <f t="shared" si="3"/>
        <v>16.204004213252613</v>
      </c>
      <c r="V10" s="19">
        <f t="shared" si="3"/>
        <v>21.164413666289136</v>
      </c>
      <c r="W10" s="19">
        <f t="shared" si="3"/>
        <v>26.786211046397185</v>
      </c>
      <c r="X10" s="19">
        <f t="shared" si="3"/>
        <v>33.069396353576771</v>
      </c>
      <c r="Y10" s="19">
        <f t="shared" si="3"/>
        <v>40.013969587827901</v>
      </c>
      <c r="Z10" s="19">
        <f t="shared" si="3"/>
        <v>47.619930749150548</v>
      </c>
      <c r="AA10" s="189">
        <f t="shared" si="5"/>
        <v>10.526315789473685</v>
      </c>
    </row>
    <row r="11" spans="2:27" ht="15" customHeight="1">
      <c r="B11" s="67">
        <v>20</v>
      </c>
      <c r="C11" s="7">
        <f t="shared" si="0"/>
        <v>2.4661502330679879</v>
      </c>
      <c r="D11" s="19">
        <f t="shared" si="1"/>
        <v>3.1415926535897931</v>
      </c>
      <c r="E11" s="19">
        <f t="shared" si="1"/>
        <v>6.2831853071795862</v>
      </c>
      <c r="F11" s="19">
        <f t="shared" si="2"/>
        <v>9.4247779607693793</v>
      </c>
      <c r="G11" s="19">
        <f t="shared" si="2"/>
        <v>12.566370614359172</v>
      </c>
      <c r="H11" s="19">
        <f t="shared" si="2"/>
        <v>15.707963267948966</v>
      </c>
      <c r="I11" s="19">
        <f t="shared" si="2"/>
        <v>18.849555921538759</v>
      </c>
      <c r="J11" s="19">
        <f t="shared" si="2"/>
        <v>21.991148575128552</v>
      </c>
      <c r="K11" s="19">
        <f t="shared" si="2"/>
        <v>25.132741228718345</v>
      </c>
      <c r="L11" s="19">
        <f t="shared" si="2"/>
        <v>28.274333882308138</v>
      </c>
      <c r="M11" s="173">
        <f t="shared" si="2"/>
        <v>31.415926535897931</v>
      </c>
      <c r="P11" s="182">
        <v>10</v>
      </c>
      <c r="Q11" s="19">
        <f t="shared" si="4"/>
        <v>2.8274333882308138</v>
      </c>
      <c r="R11" s="19">
        <f t="shared" si="4"/>
        <v>5.0265482457436699</v>
      </c>
      <c r="S11" s="19">
        <f t="shared" si="3"/>
        <v>7.8539816339744828</v>
      </c>
      <c r="T11" s="19">
        <f t="shared" si="3"/>
        <v>11.309733552923255</v>
      </c>
      <c r="U11" s="19">
        <f t="shared" si="3"/>
        <v>15.393804002589983</v>
      </c>
      <c r="V11" s="19">
        <f t="shared" si="3"/>
        <v>20.106192982974679</v>
      </c>
      <c r="W11" s="19">
        <f t="shared" si="3"/>
        <v>25.446900494077326</v>
      </c>
      <c r="X11" s="19">
        <f t="shared" si="3"/>
        <v>31.415926535897931</v>
      </c>
      <c r="Y11" s="19">
        <f t="shared" si="3"/>
        <v>38.013271108436506</v>
      </c>
      <c r="Z11" s="19">
        <f t="shared" si="3"/>
        <v>45.238934211693021</v>
      </c>
      <c r="AA11" s="189">
        <f t="shared" si="5"/>
        <v>10</v>
      </c>
    </row>
    <row r="12" spans="2:27" ht="15" customHeight="1">
      <c r="B12" s="67">
        <v>22</v>
      </c>
      <c r="C12" s="7">
        <f t="shared" si="0"/>
        <v>2.9840417820122656</v>
      </c>
      <c r="D12" s="19">
        <f t="shared" si="1"/>
        <v>3.8013271108436504</v>
      </c>
      <c r="E12" s="19">
        <f t="shared" si="1"/>
        <v>7.6026542216873008</v>
      </c>
      <c r="F12" s="19">
        <f t="shared" si="2"/>
        <v>11.40398133253095</v>
      </c>
      <c r="G12" s="19">
        <f t="shared" si="2"/>
        <v>15.205308443374602</v>
      </c>
      <c r="H12" s="19">
        <f t="shared" si="2"/>
        <v>19.006635554218253</v>
      </c>
      <c r="I12" s="19">
        <f t="shared" si="2"/>
        <v>22.807962665061901</v>
      </c>
      <c r="J12" s="19">
        <f t="shared" si="2"/>
        <v>26.609289775905552</v>
      </c>
      <c r="K12" s="19">
        <f t="shared" si="2"/>
        <v>30.410616886749203</v>
      </c>
      <c r="L12" s="19">
        <f t="shared" si="2"/>
        <v>34.211943997592854</v>
      </c>
      <c r="M12" s="173">
        <f t="shared" si="2"/>
        <v>38.013271108436506</v>
      </c>
      <c r="P12" s="182">
        <v>10.5</v>
      </c>
      <c r="Q12" s="19">
        <f t="shared" si="4"/>
        <v>2.6927937030769655</v>
      </c>
      <c r="R12" s="19">
        <f t="shared" si="4"/>
        <v>4.7871888054701612</v>
      </c>
      <c r="S12" s="19">
        <f t="shared" si="3"/>
        <v>7.4799825085471268</v>
      </c>
      <c r="T12" s="19">
        <f t="shared" si="3"/>
        <v>10.771174812307862</v>
      </c>
      <c r="U12" s="19">
        <f t="shared" si="3"/>
        <v>14.660765716752364</v>
      </c>
      <c r="V12" s="19">
        <f t="shared" si="3"/>
        <v>19.148755221880645</v>
      </c>
      <c r="W12" s="19">
        <f t="shared" si="3"/>
        <v>24.23514332769269</v>
      </c>
      <c r="X12" s="19">
        <f t="shared" si="3"/>
        <v>29.919930034188507</v>
      </c>
      <c r="Y12" s="19">
        <f t="shared" si="3"/>
        <v>36.203115341368097</v>
      </c>
      <c r="Z12" s="19">
        <f t="shared" si="3"/>
        <v>43.084699249231448</v>
      </c>
      <c r="AA12" s="189">
        <f t="shared" si="5"/>
        <v>9.5238095238095237</v>
      </c>
    </row>
    <row r="13" spans="2:27" ht="15" customHeight="1">
      <c r="B13" s="67">
        <v>24</v>
      </c>
      <c r="C13" s="7">
        <f t="shared" si="0"/>
        <v>3.5512563356179023</v>
      </c>
      <c r="D13" s="19">
        <f t="shared" si="1"/>
        <v>4.5238934211693023</v>
      </c>
      <c r="E13" s="19">
        <f t="shared" si="1"/>
        <v>9.0477868423386045</v>
      </c>
      <c r="F13" s="19">
        <f t="shared" si="2"/>
        <v>13.571680263507908</v>
      </c>
      <c r="G13" s="19">
        <f t="shared" si="2"/>
        <v>18.095573684677209</v>
      </c>
      <c r="H13" s="19">
        <f t="shared" si="2"/>
        <v>22.61946710584651</v>
      </c>
      <c r="I13" s="19">
        <f t="shared" si="2"/>
        <v>27.143360527015815</v>
      </c>
      <c r="J13" s="19">
        <f t="shared" si="2"/>
        <v>31.667253948185117</v>
      </c>
      <c r="K13" s="19">
        <f t="shared" si="2"/>
        <v>36.191147369354418</v>
      </c>
      <c r="L13" s="19">
        <f t="shared" si="2"/>
        <v>40.715040790523723</v>
      </c>
      <c r="M13" s="173">
        <f t="shared" si="2"/>
        <v>45.238934211693021</v>
      </c>
      <c r="P13" s="182">
        <v>11</v>
      </c>
      <c r="Q13" s="19">
        <f t="shared" si="4"/>
        <v>2.5703939893007397</v>
      </c>
      <c r="R13" s="19">
        <f t="shared" si="4"/>
        <v>4.5695893143124273</v>
      </c>
      <c r="S13" s="19">
        <f t="shared" si="3"/>
        <v>7.1399833036131666</v>
      </c>
      <c r="T13" s="19">
        <f t="shared" si="3"/>
        <v>10.281575957202959</v>
      </c>
      <c r="U13" s="19">
        <f t="shared" si="3"/>
        <v>13.994367275081801</v>
      </c>
      <c r="V13" s="19">
        <f t="shared" si="3"/>
        <v>18.278357257249709</v>
      </c>
      <c r="W13" s="19">
        <f t="shared" si="3"/>
        <v>23.133545903706661</v>
      </c>
      <c r="X13" s="19">
        <f t="shared" si="3"/>
        <v>28.559933214452666</v>
      </c>
      <c r="Y13" s="19">
        <f t="shared" si="3"/>
        <v>34.557519189487728</v>
      </c>
      <c r="Z13" s="19">
        <f t="shared" si="3"/>
        <v>41.126303828811835</v>
      </c>
      <c r="AA13" s="189">
        <f t="shared" si="5"/>
        <v>9.0909090909090917</v>
      </c>
    </row>
    <row r="14" spans="2:27" ht="15" customHeight="1">
      <c r="B14" s="67">
        <v>26</v>
      </c>
      <c r="C14" s="7">
        <f t="shared" si="0"/>
        <v>4.1677938938848991</v>
      </c>
      <c r="D14" s="19">
        <f t="shared" si="1"/>
        <v>5.3092915845667505</v>
      </c>
      <c r="E14" s="19">
        <f t="shared" si="1"/>
        <v>10.618583169133501</v>
      </c>
      <c r="F14" s="19">
        <f t="shared" si="2"/>
        <v>15.927874753700252</v>
      </c>
      <c r="G14" s="19">
        <f t="shared" si="2"/>
        <v>21.237166338267002</v>
      </c>
      <c r="H14" s="19">
        <f t="shared" si="2"/>
        <v>26.546457922833753</v>
      </c>
      <c r="I14" s="19">
        <f t="shared" si="2"/>
        <v>31.855749507400503</v>
      </c>
      <c r="J14" s="19">
        <f t="shared" si="2"/>
        <v>37.165041091967254</v>
      </c>
      <c r="K14" s="19">
        <f t="shared" si="2"/>
        <v>42.474332676534004</v>
      </c>
      <c r="L14" s="19">
        <f t="shared" si="2"/>
        <v>47.783624261100755</v>
      </c>
      <c r="M14" s="173">
        <f t="shared" si="2"/>
        <v>53.092915845667505</v>
      </c>
      <c r="P14" s="182">
        <v>11.5</v>
      </c>
      <c r="Q14" s="19">
        <f t="shared" si="4"/>
        <v>2.4586377288963597</v>
      </c>
      <c r="R14" s="19">
        <f t="shared" si="4"/>
        <v>4.3709115180379738</v>
      </c>
      <c r="S14" s="19">
        <f t="shared" si="3"/>
        <v>6.8295492469343335</v>
      </c>
      <c r="T14" s="19">
        <f t="shared" si="3"/>
        <v>9.8345509155854387</v>
      </c>
      <c r="U14" s="19">
        <f t="shared" si="3"/>
        <v>13.385916523991289</v>
      </c>
      <c r="V14" s="19">
        <f t="shared" si="3"/>
        <v>17.483646072151895</v>
      </c>
      <c r="W14" s="19">
        <f t="shared" si="3"/>
        <v>22.127739560067241</v>
      </c>
      <c r="X14" s="19">
        <f t="shared" si="3"/>
        <v>27.318196987737334</v>
      </c>
      <c r="Y14" s="19">
        <f t="shared" si="3"/>
        <v>33.055018355162176</v>
      </c>
      <c r="Z14" s="19">
        <f t="shared" si="3"/>
        <v>39.338203662341755</v>
      </c>
      <c r="AA14" s="189">
        <f t="shared" si="5"/>
        <v>8.695652173913043</v>
      </c>
    </row>
    <row r="15" spans="2:27" ht="15" customHeight="1">
      <c r="B15" s="67">
        <v>28</v>
      </c>
      <c r="C15" s="7">
        <f t="shared" si="0"/>
        <v>4.8336544568132549</v>
      </c>
      <c r="D15" s="19">
        <f t="shared" si="1"/>
        <v>6.1575216010359934</v>
      </c>
      <c r="E15" s="19">
        <f t="shared" si="1"/>
        <v>12.315043202071987</v>
      </c>
      <c r="F15" s="19">
        <f t="shared" si="2"/>
        <v>18.472564803107979</v>
      </c>
      <c r="G15" s="19">
        <f t="shared" si="2"/>
        <v>24.630086404143974</v>
      </c>
      <c r="H15" s="19">
        <f t="shared" si="2"/>
        <v>30.787608005179969</v>
      </c>
      <c r="I15" s="19">
        <f t="shared" si="2"/>
        <v>36.945129606215957</v>
      </c>
      <c r="J15" s="19">
        <f t="shared" si="2"/>
        <v>43.102651207251952</v>
      </c>
      <c r="K15" s="19">
        <f t="shared" si="2"/>
        <v>49.260172808287948</v>
      </c>
      <c r="L15" s="19">
        <f t="shared" si="2"/>
        <v>55.417694409323943</v>
      </c>
      <c r="M15" s="173">
        <f t="shared" si="2"/>
        <v>61.575216010359938</v>
      </c>
      <c r="P15" s="182">
        <v>12</v>
      </c>
      <c r="Q15" s="19">
        <f t="shared" si="4"/>
        <v>2.3561944901923448</v>
      </c>
      <c r="R15" s="19">
        <f t="shared" si="4"/>
        <v>4.1887902047863914</v>
      </c>
      <c r="S15" s="19">
        <f t="shared" si="3"/>
        <v>6.5449846949787363</v>
      </c>
      <c r="T15" s="19">
        <f t="shared" si="3"/>
        <v>9.4247779607693793</v>
      </c>
      <c r="U15" s="19">
        <f t="shared" si="3"/>
        <v>12.828170002158318</v>
      </c>
      <c r="V15" s="19">
        <f t="shared" si="3"/>
        <v>16.755160819145566</v>
      </c>
      <c r="W15" s="19">
        <f t="shared" si="3"/>
        <v>21.205750411731106</v>
      </c>
      <c r="X15" s="19">
        <f t="shared" si="3"/>
        <v>26.179938779914945</v>
      </c>
      <c r="Y15" s="19">
        <f t="shared" si="3"/>
        <v>31.677725923697086</v>
      </c>
      <c r="Z15" s="19">
        <f t="shared" si="3"/>
        <v>37.699111843077517</v>
      </c>
      <c r="AA15" s="189">
        <f t="shared" si="5"/>
        <v>8.3333333333333339</v>
      </c>
    </row>
    <row r="16" spans="2:27" ht="15" customHeight="1">
      <c r="B16" s="67">
        <v>30</v>
      </c>
      <c r="C16" s="7">
        <f t="shared" si="0"/>
        <v>5.548838024402972</v>
      </c>
      <c r="D16" s="19">
        <f t="shared" si="1"/>
        <v>7.0685834705770345</v>
      </c>
      <c r="E16" s="19">
        <f t="shared" si="1"/>
        <v>14.137166941154069</v>
      </c>
      <c r="F16" s="19">
        <f t="shared" si="2"/>
        <v>21.205750411731103</v>
      </c>
      <c r="G16" s="19">
        <f t="shared" si="2"/>
        <v>28.274333882308138</v>
      </c>
      <c r="H16" s="19">
        <f t="shared" si="2"/>
        <v>35.342917352885173</v>
      </c>
      <c r="I16" s="19">
        <f t="shared" si="2"/>
        <v>42.411500823462205</v>
      </c>
      <c r="J16" s="19">
        <f t="shared" si="2"/>
        <v>49.480084294039244</v>
      </c>
      <c r="K16" s="19">
        <f t="shared" si="2"/>
        <v>56.548667764616276</v>
      </c>
      <c r="L16" s="19">
        <f t="shared" si="2"/>
        <v>63.617251235193308</v>
      </c>
      <c r="M16" s="173">
        <f t="shared" si="2"/>
        <v>70.685834705770347</v>
      </c>
      <c r="P16" s="182">
        <v>12.5</v>
      </c>
      <c r="Q16" s="19">
        <f t="shared" si="4"/>
        <v>2.2619467105846511</v>
      </c>
      <c r="R16" s="19">
        <f t="shared" si="4"/>
        <v>4.0212385965949355</v>
      </c>
      <c r="S16" s="19">
        <f t="shared" si="3"/>
        <v>6.2831853071795862</v>
      </c>
      <c r="T16" s="19">
        <f t="shared" si="3"/>
        <v>9.0477868423386045</v>
      </c>
      <c r="U16" s="19">
        <f t="shared" si="3"/>
        <v>12.315043202071985</v>
      </c>
      <c r="V16" s="19">
        <f t="shared" si="3"/>
        <v>16.084954386379742</v>
      </c>
      <c r="W16" s="19">
        <f t="shared" si="3"/>
        <v>20.357520395261862</v>
      </c>
      <c r="X16" s="19">
        <f t="shared" si="3"/>
        <v>25.132741228718345</v>
      </c>
      <c r="Y16" s="19">
        <f t="shared" si="3"/>
        <v>30.410616886749203</v>
      </c>
      <c r="Z16" s="19">
        <f t="shared" si="3"/>
        <v>36.191147369354418</v>
      </c>
      <c r="AA16" s="189">
        <f t="shared" si="5"/>
        <v>8</v>
      </c>
    </row>
    <row r="17" spans="2:27" ht="15" customHeight="1">
      <c r="B17" s="67">
        <v>32</v>
      </c>
      <c r="C17" s="7">
        <f t="shared" si="0"/>
        <v>6.3133445966540487</v>
      </c>
      <c r="D17" s="19">
        <f t="shared" si="1"/>
        <v>8.0424771931898711</v>
      </c>
      <c r="E17" s="19">
        <f t="shared" si="1"/>
        <v>16.084954386379742</v>
      </c>
      <c r="F17" s="19">
        <f t="shared" si="2"/>
        <v>24.127431579569613</v>
      </c>
      <c r="G17" s="19">
        <f t="shared" si="2"/>
        <v>32.169908772759484</v>
      </c>
      <c r="H17" s="19">
        <f t="shared" si="2"/>
        <v>40.212385965949352</v>
      </c>
      <c r="I17" s="19">
        <f t="shared" si="2"/>
        <v>48.254863159139227</v>
      </c>
      <c r="J17" s="19">
        <f t="shared" si="2"/>
        <v>56.297340352329101</v>
      </c>
      <c r="K17" s="19">
        <f t="shared" si="2"/>
        <v>64.339817545518969</v>
      </c>
      <c r="L17" s="19">
        <f t="shared" si="2"/>
        <v>72.382294738708836</v>
      </c>
      <c r="M17" s="173">
        <f t="shared" si="2"/>
        <v>80.424771931898704</v>
      </c>
      <c r="P17" s="182">
        <v>13</v>
      </c>
      <c r="Q17" s="19">
        <f t="shared" si="4"/>
        <v>2.174948760177549</v>
      </c>
      <c r="R17" s="19">
        <f t="shared" si="4"/>
        <v>3.8665755736489769</v>
      </c>
      <c r="S17" s="19">
        <f t="shared" si="3"/>
        <v>6.0415243338265254</v>
      </c>
      <c r="T17" s="19">
        <f t="shared" si="3"/>
        <v>8.699795040710196</v>
      </c>
      <c r="U17" s="19">
        <f t="shared" si="3"/>
        <v>11.841387694299986</v>
      </c>
      <c r="V17" s="19">
        <f t="shared" si="3"/>
        <v>15.466302294595907</v>
      </c>
      <c r="W17" s="19">
        <f t="shared" si="3"/>
        <v>19.574538841597942</v>
      </c>
      <c r="X17" s="19">
        <f t="shared" si="3"/>
        <v>24.166097335306102</v>
      </c>
      <c r="Y17" s="19">
        <f t="shared" si="3"/>
        <v>29.240977775720388</v>
      </c>
      <c r="Z17" s="19">
        <f t="shared" si="3"/>
        <v>34.799180162840784</v>
      </c>
      <c r="AA17" s="189">
        <f t="shared" si="5"/>
        <v>7.6923076923076925</v>
      </c>
    </row>
    <row r="18" spans="2:27" ht="15" customHeight="1">
      <c r="B18" s="67">
        <v>34</v>
      </c>
      <c r="C18" s="7">
        <f t="shared" si="0"/>
        <v>7.1271741735664831</v>
      </c>
      <c r="D18" s="19">
        <f t="shared" si="1"/>
        <v>9.0792027688745005</v>
      </c>
      <c r="E18" s="19">
        <f t="shared" si="1"/>
        <v>18.158405537749001</v>
      </c>
      <c r="F18" s="19">
        <f t="shared" si="2"/>
        <v>27.2376083066235</v>
      </c>
      <c r="G18" s="19">
        <f t="shared" si="2"/>
        <v>36.316811075498002</v>
      </c>
      <c r="H18" s="19">
        <f t="shared" si="2"/>
        <v>45.396013844372504</v>
      </c>
      <c r="I18" s="19">
        <f t="shared" si="2"/>
        <v>54.475216613246999</v>
      </c>
      <c r="J18" s="19">
        <f t="shared" si="2"/>
        <v>63.554419382121502</v>
      </c>
      <c r="K18" s="19">
        <f t="shared" si="2"/>
        <v>72.633622150996004</v>
      </c>
      <c r="L18" s="19">
        <f t="shared" si="2"/>
        <v>81.712824919870499</v>
      </c>
      <c r="M18" s="173">
        <f t="shared" si="2"/>
        <v>90.792027688745009</v>
      </c>
      <c r="P18" s="182">
        <v>13.5</v>
      </c>
      <c r="Q18" s="19">
        <f t="shared" si="4"/>
        <v>2.0943951023931953</v>
      </c>
      <c r="R18" s="19">
        <f t="shared" si="4"/>
        <v>3.7233690709212368</v>
      </c>
      <c r="S18" s="19">
        <f t="shared" si="3"/>
        <v>5.8177641733144316</v>
      </c>
      <c r="T18" s="19">
        <f t="shared" si="3"/>
        <v>8.3775804095727811</v>
      </c>
      <c r="U18" s="19">
        <f t="shared" si="3"/>
        <v>11.402817779696283</v>
      </c>
      <c r="V18" s="19">
        <f t="shared" si="3"/>
        <v>14.893476283684947</v>
      </c>
      <c r="W18" s="19">
        <f t="shared" si="3"/>
        <v>18.849555921538759</v>
      </c>
      <c r="X18" s="19">
        <f t="shared" si="3"/>
        <v>23.271056693257727</v>
      </c>
      <c r="Y18" s="19">
        <f t="shared" si="3"/>
        <v>28.157978598841854</v>
      </c>
      <c r="Z18" s="19">
        <f t="shared" si="3"/>
        <v>33.510321638291124</v>
      </c>
      <c r="AA18" s="189">
        <f t="shared" si="5"/>
        <v>7.4074074074074074</v>
      </c>
    </row>
    <row r="19" spans="2:27" ht="15" customHeight="1">
      <c r="B19" s="67">
        <v>36</v>
      </c>
      <c r="C19" s="7">
        <f t="shared" si="0"/>
        <v>7.9903267551402806</v>
      </c>
      <c r="D19" s="19">
        <f t="shared" si="1"/>
        <v>10.178760197630931</v>
      </c>
      <c r="E19" s="19">
        <f t="shared" si="1"/>
        <v>20.357520395261862</v>
      </c>
      <c r="F19" s="19">
        <f t="shared" si="2"/>
        <v>30.536280592892794</v>
      </c>
      <c r="G19" s="19">
        <f t="shared" si="2"/>
        <v>40.715040790523723</v>
      </c>
      <c r="H19" s="19">
        <f t="shared" si="2"/>
        <v>50.893800988154652</v>
      </c>
      <c r="I19" s="19">
        <f t="shared" si="2"/>
        <v>61.072561185785588</v>
      </c>
      <c r="J19" s="19">
        <f t="shared" si="2"/>
        <v>71.25132138341651</v>
      </c>
      <c r="K19" s="19">
        <f t="shared" si="2"/>
        <v>81.430081581047446</v>
      </c>
      <c r="L19" s="19">
        <f t="shared" si="2"/>
        <v>91.608841778678382</v>
      </c>
      <c r="M19" s="173">
        <f t="shared" si="2"/>
        <v>101.7876019763093</v>
      </c>
      <c r="P19" s="182">
        <v>14</v>
      </c>
      <c r="Q19" s="19">
        <f t="shared" si="4"/>
        <v>2.0195952773077241</v>
      </c>
      <c r="R19" s="19">
        <f t="shared" si="4"/>
        <v>3.5903916041026211</v>
      </c>
      <c r="S19" s="19">
        <f t="shared" si="3"/>
        <v>5.6099868814103448</v>
      </c>
      <c r="T19" s="19">
        <f t="shared" si="3"/>
        <v>8.0783811092308966</v>
      </c>
      <c r="U19" s="19">
        <f t="shared" si="3"/>
        <v>10.995574287564272</v>
      </c>
      <c r="V19" s="19">
        <f t="shared" si="3"/>
        <v>14.361566416410485</v>
      </c>
      <c r="W19" s="19">
        <f t="shared" si="3"/>
        <v>18.176357495769519</v>
      </c>
      <c r="X19" s="19">
        <f t="shared" si="3"/>
        <v>22.439947525641379</v>
      </c>
      <c r="Y19" s="19">
        <f t="shared" si="3"/>
        <v>27.152336506026074</v>
      </c>
      <c r="Z19" s="19">
        <f t="shared" si="3"/>
        <v>32.313524436923586</v>
      </c>
      <c r="AA19" s="189">
        <f t="shared" si="5"/>
        <v>7.1428571428571432</v>
      </c>
    </row>
    <row r="20" spans="2:27" ht="15" customHeight="1">
      <c r="B20" s="67">
        <v>38</v>
      </c>
      <c r="C20" s="7">
        <f t="shared" si="0"/>
        <v>8.9028023413754358</v>
      </c>
      <c r="D20" s="19">
        <f t="shared" si="1"/>
        <v>11.341149479459153</v>
      </c>
      <c r="E20" s="19">
        <f t="shared" si="1"/>
        <v>22.682298958918306</v>
      </c>
      <c r="F20" s="19">
        <f t="shared" ref="F20:M26" si="6">(PI()*($B20/10)^2)*F$3/4</f>
        <v>34.023448438377457</v>
      </c>
      <c r="G20" s="19">
        <f t="shared" si="6"/>
        <v>45.364597917836612</v>
      </c>
      <c r="H20" s="19">
        <f t="shared" si="6"/>
        <v>56.705747397295767</v>
      </c>
      <c r="I20" s="19">
        <f t="shared" si="6"/>
        <v>68.046896876754914</v>
      </c>
      <c r="J20" s="19">
        <f t="shared" si="6"/>
        <v>79.388046356214076</v>
      </c>
      <c r="K20" s="19">
        <f t="shared" si="6"/>
        <v>90.729195835673224</v>
      </c>
      <c r="L20" s="19">
        <f t="shared" si="6"/>
        <v>102.07034531513237</v>
      </c>
      <c r="M20" s="173">
        <f t="shared" si="6"/>
        <v>113.41149479459153</v>
      </c>
      <c r="P20" s="182">
        <v>14.5</v>
      </c>
      <c r="Q20" s="19">
        <f t="shared" si="4"/>
        <v>1.949954060848837</v>
      </c>
      <c r="R20" s="19">
        <f t="shared" si="4"/>
        <v>3.4665849970645999</v>
      </c>
      <c r="S20" s="19">
        <f t="shared" si="3"/>
        <v>5.4165390579134369</v>
      </c>
      <c r="T20" s="19">
        <f t="shared" si="3"/>
        <v>7.7998162433953482</v>
      </c>
      <c r="U20" s="19">
        <f t="shared" si="3"/>
        <v>10.616416553510332</v>
      </c>
      <c r="V20" s="19">
        <f t="shared" si="3"/>
        <v>13.8663399882584</v>
      </c>
      <c r="W20" s="19">
        <f t="shared" si="3"/>
        <v>17.549586547639535</v>
      </c>
      <c r="X20" s="19">
        <f t="shared" si="3"/>
        <v>21.666156231653748</v>
      </c>
      <c r="Y20" s="19">
        <f t="shared" si="3"/>
        <v>26.216049040301037</v>
      </c>
      <c r="Z20" s="19">
        <f t="shared" si="3"/>
        <v>31.199264973581393</v>
      </c>
      <c r="AA20" s="189">
        <f t="shared" si="5"/>
        <v>6.8965517241379306</v>
      </c>
    </row>
    <row r="21" spans="2:27" ht="15" customHeight="1">
      <c r="B21" s="67">
        <v>40</v>
      </c>
      <c r="C21" s="7">
        <f t="shared" si="0"/>
        <v>9.8646009322719515</v>
      </c>
      <c r="D21" s="19">
        <f t="shared" si="1"/>
        <v>12.566370614359172</v>
      </c>
      <c r="E21" s="19">
        <f t="shared" si="1"/>
        <v>25.132741228718345</v>
      </c>
      <c r="F21" s="19">
        <f t="shared" si="6"/>
        <v>37.699111843077517</v>
      </c>
      <c r="G21" s="19">
        <f t="shared" si="6"/>
        <v>50.26548245743669</v>
      </c>
      <c r="H21" s="19">
        <f t="shared" si="6"/>
        <v>62.831853071795862</v>
      </c>
      <c r="I21" s="19">
        <f t="shared" si="6"/>
        <v>75.398223686155035</v>
      </c>
      <c r="J21" s="19">
        <f t="shared" si="6"/>
        <v>87.964594300514207</v>
      </c>
      <c r="K21" s="19">
        <f t="shared" si="6"/>
        <v>100.53096491487338</v>
      </c>
      <c r="L21" s="19">
        <f t="shared" si="6"/>
        <v>113.09733552923255</v>
      </c>
      <c r="M21" s="173">
        <f t="shared" si="6"/>
        <v>125.66370614359172</v>
      </c>
      <c r="P21" s="182">
        <v>15</v>
      </c>
      <c r="Q21" s="19">
        <f t="shared" si="4"/>
        <v>1.8849555921538759</v>
      </c>
      <c r="R21" s="19">
        <f t="shared" si="4"/>
        <v>3.351032163829113</v>
      </c>
      <c r="S21" s="19">
        <f t="shared" si="4"/>
        <v>5.2359877559829888</v>
      </c>
      <c r="T21" s="19">
        <f t="shared" si="4"/>
        <v>7.5398223686155035</v>
      </c>
      <c r="U21" s="19">
        <f t="shared" si="4"/>
        <v>10.262536001726655</v>
      </c>
      <c r="V21" s="19">
        <f t="shared" si="4"/>
        <v>13.404128655316452</v>
      </c>
      <c r="W21" s="19">
        <f t="shared" si="4"/>
        <v>16.964600329384883</v>
      </c>
      <c r="X21" s="19">
        <f t="shared" si="4"/>
        <v>20.943951023931955</v>
      </c>
      <c r="Y21" s="19">
        <f t="shared" si="4"/>
        <v>25.342180738957669</v>
      </c>
      <c r="Z21" s="19">
        <f t="shared" si="4"/>
        <v>30.159289474462014</v>
      </c>
      <c r="AA21" s="189">
        <f t="shared" si="5"/>
        <v>6.666666666666667</v>
      </c>
    </row>
    <row r="22" spans="2:27" ht="15" customHeight="1">
      <c r="B22" s="67">
        <v>42</v>
      </c>
      <c r="C22" s="7">
        <f t="shared" si="0"/>
        <v>10.875722527829826</v>
      </c>
      <c r="D22" s="19">
        <f t="shared" si="1"/>
        <v>13.854423602330987</v>
      </c>
      <c r="E22" s="19">
        <f t="shared" si="1"/>
        <v>27.708847204661975</v>
      </c>
      <c r="F22" s="19">
        <f t="shared" si="6"/>
        <v>41.563270806992961</v>
      </c>
      <c r="G22" s="19">
        <f t="shared" si="6"/>
        <v>55.41769440932395</v>
      </c>
      <c r="H22" s="19">
        <f t="shared" si="6"/>
        <v>69.272118011654939</v>
      </c>
      <c r="I22" s="19">
        <f t="shared" si="6"/>
        <v>83.126541613985921</v>
      </c>
      <c r="J22" s="19">
        <f t="shared" si="6"/>
        <v>96.980965216316918</v>
      </c>
      <c r="K22" s="19">
        <f t="shared" si="6"/>
        <v>110.8353888186479</v>
      </c>
      <c r="L22" s="19">
        <f t="shared" si="6"/>
        <v>124.68981242097888</v>
      </c>
      <c r="M22" s="173">
        <f t="shared" si="6"/>
        <v>138.54423602330988</v>
      </c>
      <c r="P22" s="182">
        <v>15.5</v>
      </c>
      <c r="Q22" s="19">
        <f t="shared" si="4"/>
        <v>1.8241505730521379</v>
      </c>
      <c r="R22" s="19">
        <f t="shared" si="4"/>
        <v>3.2429343520926901</v>
      </c>
      <c r="S22" s="19">
        <f t="shared" si="4"/>
        <v>5.0670849251448278</v>
      </c>
      <c r="T22" s="19">
        <f t="shared" si="4"/>
        <v>7.2966022922085516</v>
      </c>
      <c r="U22" s="19">
        <f t="shared" si="4"/>
        <v>9.9314864532838598</v>
      </c>
      <c r="V22" s="19">
        <f t="shared" si="4"/>
        <v>12.97173740837076</v>
      </c>
      <c r="W22" s="19">
        <f t="shared" si="4"/>
        <v>16.417355157469242</v>
      </c>
      <c r="X22" s="19">
        <f t="shared" si="4"/>
        <v>20.268339700579311</v>
      </c>
      <c r="Y22" s="19">
        <f t="shared" si="4"/>
        <v>24.524691037700972</v>
      </c>
      <c r="Z22" s="19">
        <f t="shared" si="4"/>
        <v>29.186409168834206</v>
      </c>
      <c r="AA22" s="189">
        <f t="shared" si="5"/>
        <v>6.4516129032258061</v>
      </c>
    </row>
    <row r="23" spans="2:27" ht="15" customHeight="1">
      <c r="B23" s="67">
        <v>44</v>
      </c>
      <c r="C23" s="7">
        <f t="shared" si="0"/>
        <v>11.936167128049062</v>
      </c>
      <c r="D23" s="19">
        <f t="shared" si="1"/>
        <v>15.205308443374602</v>
      </c>
      <c r="E23" s="19">
        <f t="shared" si="1"/>
        <v>30.410616886749203</v>
      </c>
      <c r="F23" s="19">
        <f t="shared" si="6"/>
        <v>45.615925330123801</v>
      </c>
      <c r="G23" s="19">
        <f t="shared" si="6"/>
        <v>60.821233773498406</v>
      </c>
      <c r="H23" s="19">
        <f t="shared" si="6"/>
        <v>76.026542216873011</v>
      </c>
      <c r="I23" s="19">
        <f t="shared" si="6"/>
        <v>91.231850660247602</v>
      </c>
      <c r="J23" s="19">
        <f t="shared" si="6"/>
        <v>106.43715910362221</v>
      </c>
      <c r="K23" s="19">
        <f t="shared" si="6"/>
        <v>121.64246754699681</v>
      </c>
      <c r="L23" s="19">
        <f t="shared" si="6"/>
        <v>136.84777599037142</v>
      </c>
      <c r="M23" s="173">
        <f t="shared" si="6"/>
        <v>152.05308443374602</v>
      </c>
      <c r="P23" s="182">
        <v>16</v>
      </c>
      <c r="Q23" s="19">
        <f t="shared" si="4"/>
        <v>1.7671458676442586</v>
      </c>
      <c r="R23" s="19">
        <f t="shared" si="4"/>
        <v>3.1415926535897936</v>
      </c>
      <c r="S23" s="19">
        <f t="shared" si="4"/>
        <v>4.908738521234052</v>
      </c>
      <c r="T23" s="19">
        <f t="shared" si="4"/>
        <v>7.0685834705770345</v>
      </c>
      <c r="U23" s="19">
        <f t="shared" si="4"/>
        <v>9.621127501618739</v>
      </c>
      <c r="V23" s="19">
        <f t="shared" si="4"/>
        <v>12.566370614359174</v>
      </c>
      <c r="W23" s="19">
        <f t="shared" si="4"/>
        <v>15.904312808798329</v>
      </c>
      <c r="X23" s="19">
        <f t="shared" si="4"/>
        <v>19.634954084936208</v>
      </c>
      <c r="Y23" s="19">
        <f t="shared" si="4"/>
        <v>23.758294442772815</v>
      </c>
      <c r="Z23" s="19">
        <f t="shared" si="4"/>
        <v>28.274333882308138</v>
      </c>
      <c r="AA23" s="189">
        <f t="shared" si="5"/>
        <v>6.25</v>
      </c>
    </row>
    <row r="24" spans="2:27" ht="15" customHeight="1">
      <c r="B24" s="67">
        <v>46</v>
      </c>
      <c r="C24" s="7">
        <f t="shared" si="0"/>
        <v>13.045934732929652</v>
      </c>
      <c r="D24" s="19">
        <f t="shared" si="1"/>
        <v>16.619025137490002</v>
      </c>
      <c r="E24" s="19">
        <f t="shared" si="1"/>
        <v>33.238050274980004</v>
      </c>
      <c r="F24" s="19">
        <f t="shared" si="6"/>
        <v>49.85707541247001</v>
      </c>
      <c r="G24" s="19">
        <f t="shared" si="6"/>
        <v>66.476100549960009</v>
      </c>
      <c r="H24" s="19">
        <f t="shared" si="6"/>
        <v>83.095125687450007</v>
      </c>
      <c r="I24" s="19">
        <f t="shared" si="6"/>
        <v>99.71415082494002</v>
      </c>
      <c r="J24" s="19">
        <f t="shared" si="6"/>
        <v>116.33317596243002</v>
      </c>
      <c r="K24" s="19">
        <f t="shared" si="6"/>
        <v>132.95220109992002</v>
      </c>
      <c r="L24" s="19">
        <f t="shared" si="6"/>
        <v>149.57122623741003</v>
      </c>
      <c r="M24" s="173">
        <f t="shared" si="6"/>
        <v>166.19025137490001</v>
      </c>
      <c r="P24" s="182">
        <v>16.5</v>
      </c>
      <c r="Q24" s="19">
        <f t="shared" si="4"/>
        <v>1.7135959928671598</v>
      </c>
      <c r="R24" s="19">
        <f t="shared" si="4"/>
        <v>3.0463928762082846</v>
      </c>
      <c r="S24" s="19">
        <f t="shared" si="4"/>
        <v>4.7599888690754444</v>
      </c>
      <c r="T24" s="19">
        <f t="shared" si="4"/>
        <v>6.8543839714686392</v>
      </c>
      <c r="U24" s="19">
        <f t="shared" si="4"/>
        <v>9.3295781833878682</v>
      </c>
      <c r="V24" s="19">
        <f t="shared" si="4"/>
        <v>12.185571504833138</v>
      </c>
      <c r="W24" s="19">
        <f t="shared" si="4"/>
        <v>15.422363935804441</v>
      </c>
      <c r="X24" s="19">
        <f t="shared" si="4"/>
        <v>19.039955476301778</v>
      </c>
      <c r="Y24" s="19">
        <f t="shared" si="4"/>
        <v>23.038346126325155</v>
      </c>
      <c r="Z24" s="19">
        <f t="shared" si="4"/>
        <v>27.417535885874557</v>
      </c>
      <c r="AA24" s="189">
        <f t="shared" si="5"/>
        <v>6.0606060606060606</v>
      </c>
    </row>
    <row r="25" spans="2:27" ht="15" customHeight="1">
      <c r="B25" s="67">
        <v>48</v>
      </c>
      <c r="C25" s="7">
        <f t="shared" si="0"/>
        <v>14.205025342471609</v>
      </c>
      <c r="D25" s="19">
        <f t="shared" si="1"/>
        <v>18.095573684677209</v>
      </c>
      <c r="E25" s="19">
        <f t="shared" si="1"/>
        <v>36.191147369354418</v>
      </c>
      <c r="F25" s="19">
        <f t="shared" si="6"/>
        <v>54.286721054031631</v>
      </c>
      <c r="G25" s="19">
        <f t="shared" si="6"/>
        <v>72.382294738708836</v>
      </c>
      <c r="H25" s="19">
        <f t="shared" si="6"/>
        <v>90.477868423386042</v>
      </c>
      <c r="I25" s="19">
        <f t="shared" si="6"/>
        <v>108.57344210806326</v>
      </c>
      <c r="J25" s="19">
        <f t="shared" si="6"/>
        <v>126.66901579274047</v>
      </c>
      <c r="K25" s="19">
        <f t="shared" si="6"/>
        <v>144.76458947741767</v>
      </c>
      <c r="L25" s="19">
        <f t="shared" si="6"/>
        <v>162.86016316209489</v>
      </c>
      <c r="M25" s="173">
        <f t="shared" si="6"/>
        <v>180.95573684677208</v>
      </c>
      <c r="P25" s="182">
        <v>17</v>
      </c>
      <c r="Q25" s="19">
        <f t="shared" si="4"/>
        <v>1.6631961107240081</v>
      </c>
      <c r="R25" s="19">
        <f t="shared" si="4"/>
        <v>2.9567930857315705</v>
      </c>
      <c r="S25" s="19">
        <f t="shared" si="4"/>
        <v>4.6199891964555784</v>
      </c>
      <c r="T25" s="19">
        <f t="shared" si="4"/>
        <v>6.6527844428960323</v>
      </c>
      <c r="U25" s="19">
        <f t="shared" si="4"/>
        <v>9.0551788250529306</v>
      </c>
      <c r="V25" s="19">
        <f t="shared" si="4"/>
        <v>11.827172342926282</v>
      </c>
      <c r="W25" s="19">
        <f t="shared" si="4"/>
        <v>14.968764996516073</v>
      </c>
      <c r="X25" s="19">
        <f t="shared" si="4"/>
        <v>18.479956785822313</v>
      </c>
      <c r="Y25" s="19">
        <f t="shared" si="4"/>
        <v>22.360747710845004</v>
      </c>
      <c r="Z25" s="19">
        <f t="shared" si="4"/>
        <v>26.611137771584129</v>
      </c>
      <c r="AA25" s="189">
        <f t="shared" si="5"/>
        <v>5.882352941176471</v>
      </c>
    </row>
    <row r="26" spans="2:27" ht="15" customHeight="1" thickBot="1">
      <c r="B26" s="69">
        <v>50</v>
      </c>
      <c r="C26" s="10">
        <f t="shared" si="0"/>
        <v>15.413438956674923</v>
      </c>
      <c r="D26" s="20">
        <f t="shared" si="1"/>
        <v>19.634954084936208</v>
      </c>
      <c r="E26" s="20">
        <f t="shared" si="1"/>
        <v>39.269908169872416</v>
      </c>
      <c r="F26" s="20">
        <f t="shared" si="6"/>
        <v>58.90486225480862</v>
      </c>
      <c r="G26" s="20">
        <f t="shared" si="6"/>
        <v>78.539816339744831</v>
      </c>
      <c r="H26" s="20">
        <f t="shared" si="6"/>
        <v>98.174770424681043</v>
      </c>
      <c r="I26" s="20">
        <f t="shared" si="6"/>
        <v>117.80972450961724</v>
      </c>
      <c r="J26" s="20">
        <f t="shared" si="6"/>
        <v>137.44467859455347</v>
      </c>
      <c r="K26" s="20">
        <f t="shared" si="6"/>
        <v>157.07963267948966</v>
      </c>
      <c r="L26" s="20">
        <f t="shared" si="6"/>
        <v>176.71458676442586</v>
      </c>
      <c r="M26" s="174">
        <f t="shared" si="6"/>
        <v>196.34954084936209</v>
      </c>
      <c r="P26" s="182">
        <v>17.5</v>
      </c>
      <c r="Q26" s="19">
        <f t="shared" si="4"/>
        <v>1.6156762218461793</v>
      </c>
      <c r="R26" s="19">
        <f t="shared" si="4"/>
        <v>2.872313283282097</v>
      </c>
      <c r="S26" s="19">
        <f t="shared" si="4"/>
        <v>4.4879895051282759</v>
      </c>
      <c r="T26" s="19">
        <f t="shared" si="4"/>
        <v>6.4627048873847173</v>
      </c>
      <c r="U26" s="19">
        <f t="shared" si="4"/>
        <v>8.7964594300514189</v>
      </c>
      <c r="V26" s="19">
        <f t="shared" si="4"/>
        <v>11.489253133128388</v>
      </c>
      <c r="W26" s="19">
        <f t="shared" si="4"/>
        <v>14.541085996615616</v>
      </c>
      <c r="X26" s="19">
        <f t="shared" si="4"/>
        <v>17.951958020513104</v>
      </c>
      <c r="Y26" s="19">
        <f t="shared" si="4"/>
        <v>21.721869204820859</v>
      </c>
      <c r="Z26" s="19">
        <f t="shared" si="4"/>
        <v>25.850819549538869</v>
      </c>
      <c r="AA26" s="189">
        <f t="shared" si="5"/>
        <v>5.7142857142857144</v>
      </c>
    </row>
    <row r="27" spans="2:27" ht="13.8" thickTop="1">
      <c r="P27" s="182">
        <v>18</v>
      </c>
      <c r="Q27" s="19">
        <f t="shared" si="4"/>
        <v>1.5707963267948966</v>
      </c>
      <c r="R27" s="19">
        <f t="shared" si="4"/>
        <v>2.7925268031909276</v>
      </c>
      <c r="S27" s="19">
        <f t="shared" si="4"/>
        <v>4.3633231299858242</v>
      </c>
      <c r="T27" s="19">
        <f t="shared" si="4"/>
        <v>6.2831853071795862</v>
      </c>
      <c r="U27" s="19">
        <f t="shared" si="4"/>
        <v>8.552113334772212</v>
      </c>
      <c r="V27" s="19">
        <f t="shared" si="4"/>
        <v>11.17010721276371</v>
      </c>
      <c r="W27" s="19">
        <f t="shared" si="4"/>
        <v>14.137166941154071</v>
      </c>
      <c r="X27" s="19">
        <f t="shared" si="4"/>
        <v>17.453292519943297</v>
      </c>
      <c r="Y27" s="19">
        <f t="shared" si="4"/>
        <v>21.118483949131392</v>
      </c>
      <c r="Z27" s="19">
        <f t="shared" si="4"/>
        <v>25.132741228718345</v>
      </c>
      <c r="AA27" s="189">
        <f t="shared" si="5"/>
        <v>5.5555555555555554</v>
      </c>
    </row>
    <row r="28" spans="2:27" ht="20.100000000000001" customHeight="1" thickBot="1">
      <c r="B28" s="538" t="s">
        <v>580</v>
      </c>
      <c r="C28" s="538"/>
      <c r="D28" s="538"/>
      <c r="E28" s="538"/>
      <c r="F28" s="538"/>
      <c r="G28" s="538"/>
      <c r="H28" s="538"/>
      <c r="I28" s="538"/>
      <c r="J28" s="538"/>
      <c r="K28" s="538"/>
      <c r="L28" s="538"/>
      <c r="M28" s="538"/>
      <c r="N28" s="538"/>
      <c r="P28" s="182">
        <v>18.5</v>
      </c>
      <c r="Q28" s="19">
        <f t="shared" si="4"/>
        <v>1.528342372016656</v>
      </c>
      <c r="R28" s="19">
        <f t="shared" si="4"/>
        <v>2.717053105807389</v>
      </c>
      <c r="S28" s="19">
        <f t="shared" si="4"/>
        <v>4.2453954778240446</v>
      </c>
      <c r="T28" s="19">
        <f t="shared" si="4"/>
        <v>6.1133694880666241</v>
      </c>
      <c r="U28" s="19">
        <f t="shared" si="4"/>
        <v>8.3209751365351252</v>
      </c>
      <c r="V28" s="19">
        <f t="shared" si="4"/>
        <v>10.868212423229556</v>
      </c>
      <c r="W28" s="19">
        <f t="shared" si="4"/>
        <v>13.755081348149906</v>
      </c>
      <c r="X28" s="19">
        <f t="shared" si="4"/>
        <v>16.981581911296178</v>
      </c>
      <c r="Y28" s="19">
        <f t="shared" si="4"/>
        <v>20.54771411266838</v>
      </c>
      <c r="Z28" s="19">
        <f t="shared" si="4"/>
        <v>24.453477952266496</v>
      </c>
      <c r="AA28" s="189">
        <f t="shared" si="5"/>
        <v>5.4054054054054053</v>
      </c>
    </row>
    <row r="29" spans="2:27" ht="13.8" thickTop="1">
      <c r="B29" s="578" t="s">
        <v>581</v>
      </c>
      <c r="C29" s="582" t="s">
        <v>578</v>
      </c>
      <c r="D29" s="582"/>
      <c r="E29" s="582"/>
      <c r="F29" s="582"/>
      <c r="G29" s="582"/>
      <c r="H29" s="582"/>
      <c r="I29" s="582"/>
      <c r="J29" s="582"/>
      <c r="K29" s="582"/>
      <c r="L29" s="582"/>
      <c r="M29" s="582"/>
      <c r="N29" s="583"/>
      <c r="P29" s="182">
        <v>19</v>
      </c>
      <c r="Q29" s="19">
        <f t="shared" si="4"/>
        <v>1.4881228359109546</v>
      </c>
      <c r="R29" s="19">
        <f t="shared" si="4"/>
        <v>2.6455517082861419</v>
      </c>
      <c r="S29" s="19">
        <f t="shared" si="4"/>
        <v>4.1336745441970963</v>
      </c>
      <c r="T29" s="19">
        <f t="shared" si="4"/>
        <v>5.9524913436438185</v>
      </c>
      <c r="U29" s="19">
        <f t="shared" si="4"/>
        <v>8.1020021066263066</v>
      </c>
      <c r="V29" s="19">
        <f t="shared" si="4"/>
        <v>10.582206833144568</v>
      </c>
      <c r="W29" s="19">
        <f t="shared" si="4"/>
        <v>13.393105523198592</v>
      </c>
      <c r="X29" s="19">
        <f t="shared" si="4"/>
        <v>16.534698176788385</v>
      </c>
      <c r="Y29" s="19">
        <f t="shared" si="4"/>
        <v>20.006984793913951</v>
      </c>
      <c r="Z29" s="19">
        <f t="shared" si="4"/>
        <v>23.809965374575274</v>
      </c>
      <c r="AA29" s="189">
        <f t="shared" si="5"/>
        <v>5.2631578947368425</v>
      </c>
    </row>
    <row r="30" spans="2:27">
      <c r="B30" s="579"/>
      <c r="C30" s="592">
        <v>3</v>
      </c>
      <c r="D30" s="537"/>
      <c r="E30" s="537">
        <v>4</v>
      </c>
      <c r="F30" s="537"/>
      <c r="G30" s="537">
        <v>5</v>
      </c>
      <c r="H30" s="537"/>
      <c r="I30" s="537">
        <v>6</v>
      </c>
      <c r="J30" s="537"/>
      <c r="K30" s="580">
        <v>7</v>
      </c>
      <c r="L30" s="580"/>
      <c r="M30" s="580">
        <v>8</v>
      </c>
      <c r="N30" s="581"/>
      <c r="P30" s="182">
        <v>19.5</v>
      </c>
      <c r="Q30" s="19">
        <f t="shared" si="4"/>
        <v>1.4499658401183662</v>
      </c>
      <c r="R30" s="19">
        <f t="shared" si="4"/>
        <v>2.5777170490993178</v>
      </c>
      <c r="S30" s="19">
        <f t="shared" si="4"/>
        <v>4.0276828892176839</v>
      </c>
      <c r="T30" s="19">
        <f t="shared" si="4"/>
        <v>5.7998633604734646</v>
      </c>
      <c r="U30" s="19">
        <f t="shared" si="4"/>
        <v>7.8942584628666577</v>
      </c>
      <c r="V30" s="19">
        <f t="shared" si="4"/>
        <v>10.310868196397271</v>
      </c>
      <c r="W30" s="19">
        <f t="shared" si="4"/>
        <v>13.049692561065296</v>
      </c>
      <c r="X30" s="19">
        <f t="shared" si="4"/>
        <v>16.110731556870736</v>
      </c>
      <c r="Y30" s="19">
        <f t="shared" si="4"/>
        <v>19.493985183813592</v>
      </c>
      <c r="Z30" s="19">
        <f t="shared" si="4"/>
        <v>23.199453441893858</v>
      </c>
      <c r="AA30" s="189">
        <f t="shared" si="5"/>
        <v>5.1282051282051286</v>
      </c>
    </row>
    <row r="31" spans="2:27">
      <c r="B31" s="175" t="s">
        <v>22</v>
      </c>
      <c r="C31" s="152" t="s">
        <v>582</v>
      </c>
      <c r="D31" s="152" t="s">
        <v>583</v>
      </c>
      <c r="E31" s="152" t="s">
        <v>582</v>
      </c>
      <c r="F31" s="152" t="s">
        <v>583</v>
      </c>
      <c r="G31" s="152" t="s">
        <v>582</v>
      </c>
      <c r="H31" s="152" t="s">
        <v>583</v>
      </c>
      <c r="I31" s="152" t="s">
        <v>582</v>
      </c>
      <c r="J31" s="152" t="s">
        <v>583</v>
      </c>
      <c r="K31" s="152" t="s">
        <v>582</v>
      </c>
      <c r="L31" s="152" t="s">
        <v>583</v>
      </c>
      <c r="M31" s="152" t="s">
        <v>582</v>
      </c>
      <c r="N31" s="112" t="s">
        <v>583</v>
      </c>
      <c r="P31" s="182">
        <v>20</v>
      </c>
      <c r="Q31" s="19">
        <f t="shared" si="4"/>
        <v>1.4137166941154069</v>
      </c>
      <c r="R31" s="19">
        <f t="shared" si="4"/>
        <v>2.5132741228718349</v>
      </c>
      <c r="S31" s="19">
        <f t="shared" si="4"/>
        <v>3.9269908169872414</v>
      </c>
      <c r="T31" s="19">
        <f t="shared" si="4"/>
        <v>5.6548667764616276</v>
      </c>
      <c r="U31" s="19">
        <f t="shared" si="4"/>
        <v>7.6969020012949914</v>
      </c>
      <c r="V31" s="19">
        <f t="shared" si="4"/>
        <v>10.05309649148734</v>
      </c>
      <c r="W31" s="19">
        <f t="shared" si="4"/>
        <v>12.723450247038663</v>
      </c>
      <c r="X31" s="19">
        <f t="shared" si="4"/>
        <v>15.707963267948966</v>
      </c>
      <c r="Y31" s="19">
        <f t="shared" si="4"/>
        <v>19.006635554218253</v>
      </c>
      <c r="Z31" s="19">
        <f t="shared" si="4"/>
        <v>22.61946710584651</v>
      </c>
      <c r="AA31" s="189">
        <f t="shared" si="5"/>
        <v>5</v>
      </c>
    </row>
    <row r="32" spans="2:27">
      <c r="B32" s="67">
        <v>12</v>
      </c>
      <c r="C32" s="17">
        <v>11.8</v>
      </c>
      <c r="D32" s="17">
        <f>(PI()*($B32/10)^2)*C$30/4</f>
        <v>3.3929200658769769</v>
      </c>
      <c r="E32" s="17">
        <f>C32+3.2</f>
        <v>15</v>
      </c>
      <c r="F32" s="17">
        <f>(PI()*($B32/10)^2)*E$30/4</f>
        <v>4.5238934211693023</v>
      </c>
      <c r="G32" s="17">
        <f>E32+3.2</f>
        <v>18.2</v>
      </c>
      <c r="H32" s="17">
        <f>(PI()*($B32/10)^2)*G$30/4</f>
        <v>5.6548667764616276</v>
      </c>
      <c r="I32" s="17">
        <f>G32+3.2</f>
        <v>21.4</v>
      </c>
      <c r="J32" s="17">
        <f t="shared" ref="J32:J46" si="7">(PI()*($B32/10)^2)*I$30/4</f>
        <v>6.7858401317539538</v>
      </c>
      <c r="K32" s="17">
        <f>I32+3.2</f>
        <v>24.599999999999998</v>
      </c>
      <c r="L32" s="17">
        <f t="shared" ref="L32:L46" si="8">(PI()*($B32/10)^2)*K$30/4</f>
        <v>7.9168134870462792</v>
      </c>
      <c r="M32" s="17">
        <f>K32+3.2</f>
        <v>27.799999999999997</v>
      </c>
      <c r="N32" s="29">
        <f t="shared" ref="N32:N46" si="9">(PI()*($B32/10)^2)*M$30/4</f>
        <v>9.0477868423386045</v>
      </c>
      <c r="P32" s="182">
        <v>21</v>
      </c>
      <c r="Q32" s="19">
        <f t="shared" si="4"/>
        <v>1.3463968515384828</v>
      </c>
      <c r="R32" s="19">
        <f t="shared" si="4"/>
        <v>2.3935944027350806</v>
      </c>
      <c r="S32" s="19">
        <f t="shared" si="4"/>
        <v>3.7399912542735634</v>
      </c>
      <c r="T32" s="19">
        <f t="shared" si="4"/>
        <v>5.3855874061539311</v>
      </c>
      <c r="U32" s="19">
        <f t="shared" si="4"/>
        <v>7.3303828583761819</v>
      </c>
      <c r="V32" s="19">
        <f t="shared" si="4"/>
        <v>9.5743776109403225</v>
      </c>
      <c r="W32" s="19">
        <f t="shared" si="4"/>
        <v>12.117571663846345</v>
      </c>
      <c r="X32" s="19">
        <f t="shared" si="4"/>
        <v>14.959965017094254</v>
      </c>
      <c r="Y32" s="19">
        <f t="shared" si="4"/>
        <v>18.101557670684048</v>
      </c>
      <c r="Z32" s="19">
        <f t="shared" si="4"/>
        <v>21.542349624615724</v>
      </c>
      <c r="AA32" s="189">
        <f t="shared" si="5"/>
        <v>4.7619047619047619</v>
      </c>
    </row>
    <row r="33" spans="2:27">
      <c r="B33" s="67">
        <v>14</v>
      </c>
      <c r="C33" s="17">
        <v>12.4</v>
      </c>
      <c r="D33" s="17">
        <f>(PI()*($B33/10)^2)*C$30/4</f>
        <v>4.6181412007769946</v>
      </c>
      <c r="E33" s="17">
        <f>C33+3.4</f>
        <v>15.8</v>
      </c>
      <c r="F33" s="17">
        <f t="shared" ref="F33:H46" si="10">(PI()*($B33/10)^2)*E$30/4</f>
        <v>6.1575216010359934</v>
      </c>
      <c r="G33" s="17">
        <f>E33+3.4</f>
        <v>19.2</v>
      </c>
      <c r="H33" s="17">
        <f t="shared" si="10"/>
        <v>7.6969020012949922</v>
      </c>
      <c r="I33" s="17">
        <f>G33+3.4</f>
        <v>22.599999999999998</v>
      </c>
      <c r="J33" s="17">
        <f t="shared" si="7"/>
        <v>9.2362824015539893</v>
      </c>
      <c r="K33" s="17">
        <f>I33+3.4</f>
        <v>25.999999999999996</v>
      </c>
      <c r="L33" s="17">
        <f t="shared" si="8"/>
        <v>10.775662801812988</v>
      </c>
      <c r="M33" s="17">
        <f>K33+3.4</f>
        <v>29.399999999999995</v>
      </c>
      <c r="N33" s="29">
        <f t="shared" si="9"/>
        <v>12.315043202071987</v>
      </c>
      <c r="P33" s="182">
        <v>22</v>
      </c>
      <c r="Q33" s="19">
        <f t="shared" si="4"/>
        <v>1.2851969946503699</v>
      </c>
      <c r="R33" s="19">
        <f t="shared" si="4"/>
        <v>2.2847946571562137</v>
      </c>
      <c r="S33" s="19">
        <f t="shared" si="4"/>
        <v>3.5699916518065833</v>
      </c>
      <c r="T33" s="19">
        <f t="shared" si="4"/>
        <v>5.1407879786014794</v>
      </c>
      <c r="U33" s="19">
        <f t="shared" si="4"/>
        <v>6.9971836375409007</v>
      </c>
      <c r="V33" s="19">
        <f t="shared" si="4"/>
        <v>9.1391786286248546</v>
      </c>
      <c r="W33" s="19">
        <f t="shared" si="4"/>
        <v>11.566772951853331</v>
      </c>
      <c r="X33" s="19">
        <f t="shared" si="4"/>
        <v>14.279966607226333</v>
      </c>
      <c r="Y33" s="19">
        <f t="shared" si="4"/>
        <v>17.278759594743864</v>
      </c>
      <c r="Z33" s="19">
        <f t="shared" si="4"/>
        <v>20.563151914405918</v>
      </c>
      <c r="AA33" s="189">
        <f t="shared" si="5"/>
        <v>4.5454545454545459</v>
      </c>
    </row>
    <row r="34" spans="2:27">
      <c r="B34" s="67">
        <v>16</v>
      </c>
      <c r="C34" s="17">
        <v>13</v>
      </c>
      <c r="D34" s="17">
        <f t="shared" ref="D34:D46" si="11">(PI()*($B34/10)^2)*C$30/4</f>
        <v>6.0318578948924033</v>
      </c>
      <c r="E34" s="17">
        <f>C34+3.6</f>
        <v>16.600000000000001</v>
      </c>
      <c r="F34" s="17">
        <f t="shared" si="10"/>
        <v>8.0424771931898711</v>
      </c>
      <c r="G34" s="17">
        <f>E34+3.6</f>
        <v>20.200000000000003</v>
      </c>
      <c r="H34" s="17">
        <f t="shared" si="10"/>
        <v>10.053096491487338</v>
      </c>
      <c r="I34" s="17">
        <f>G34+3.6</f>
        <v>23.800000000000004</v>
      </c>
      <c r="J34" s="17">
        <f t="shared" si="7"/>
        <v>12.063715789784807</v>
      </c>
      <c r="K34" s="17">
        <f>I34+3.6</f>
        <v>27.400000000000006</v>
      </c>
      <c r="L34" s="17">
        <f t="shared" si="8"/>
        <v>14.074335088082275</v>
      </c>
      <c r="M34" s="17">
        <f>K34+3.6</f>
        <v>31.000000000000007</v>
      </c>
      <c r="N34" s="29">
        <f t="shared" si="9"/>
        <v>16.084954386379742</v>
      </c>
      <c r="P34" s="182">
        <v>23</v>
      </c>
      <c r="Q34" s="19">
        <f t="shared" si="4"/>
        <v>1.2293188644481798</v>
      </c>
      <c r="R34" s="19">
        <f t="shared" si="4"/>
        <v>2.1854557590189869</v>
      </c>
      <c r="S34" s="19">
        <f t="shared" si="4"/>
        <v>3.4147746234671668</v>
      </c>
      <c r="T34" s="19">
        <f t="shared" si="4"/>
        <v>4.9172754577927194</v>
      </c>
      <c r="U34" s="19">
        <f t="shared" si="4"/>
        <v>6.6929582619956447</v>
      </c>
      <c r="V34" s="19">
        <f t="shared" si="4"/>
        <v>8.7418230360759477</v>
      </c>
      <c r="W34" s="19">
        <f t="shared" si="4"/>
        <v>11.06386978003362</v>
      </c>
      <c r="X34" s="19">
        <f t="shared" si="4"/>
        <v>13.659098493868667</v>
      </c>
      <c r="Y34" s="19">
        <f t="shared" si="4"/>
        <v>16.527509177581088</v>
      </c>
      <c r="Z34" s="19">
        <f t="shared" si="4"/>
        <v>19.669101831170877</v>
      </c>
      <c r="AA34" s="189">
        <f t="shared" si="5"/>
        <v>4.3478260869565215</v>
      </c>
    </row>
    <row r="35" spans="2:27">
      <c r="B35" s="67">
        <v>18</v>
      </c>
      <c r="C35" s="17">
        <v>13.6</v>
      </c>
      <c r="D35" s="17">
        <f t="shared" si="11"/>
        <v>7.6340701482231985</v>
      </c>
      <c r="E35" s="17">
        <f>C35+3.8</f>
        <v>17.399999999999999</v>
      </c>
      <c r="F35" s="17">
        <f t="shared" si="10"/>
        <v>10.178760197630931</v>
      </c>
      <c r="G35" s="17">
        <f>E35+3.8</f>
        <v>21.2</v>
      </c>
      <c r="H35" s="17">
        <f t="shared" si="10"/>
        <v>12.723450247038663</v>
      </c>
      <c r="I35" s="17">
        <f>G35+3.8</f>
        <v>25</v>
      </c>
      <c r="J35" s="17">
        <f t="shared" si="7"/>
        <v>15.268140296446397</v>
      </c>
      <c r="K35" s="17">
        <f>I35+3.8</f>
        <v>28.8</v>
      </c>
      <c r="L35" s="17">
        <f t="shared" si="8"/>
        <v>17.812830345854128</v>
      </c>
      <c r="M35" s="17">
        <f>K35+3.8</f>
        <v>32.6</v>
      </c>
      <c r="N35" s="29">
        <f t="shared" si="9"/>
        <v>20.357520395261862</v>
      </c>
      <c r="P35" s="182">
        <v>24</v>
      </c>
      <c r="Q35" s="19">
        <f t="shared" si="4"/>
        <v>1.1780972450961724</v>
      </c>
      <c r="R35" s="19">
        <f t="shared" si="4"/>
        <v>2.0943951023931957</v>
      </c>
      <c r="S35" s="19">
        <f t="shared" si="4"/>
        <v>3.2724923474893681</v>
      </c>
      <c r="T35" s="19">
        <f t="shared" si="4"/>
        <v>4.7123889803846897</v>
      </c>
      <c r="U35" s="19">
        <f t="shared" si="4"/>
        <v>6.414085001079159</v>
      </c>
      <c r="V35" s="19">
        <f t="shared" si="4"/>
        <v>8.3775804095727828</v>
      </c>
      <c r="W35" s="19">
        <f t="shared" si="4"/>
        <v>10.602875205865553</v>
      </c>
      <c r="X35" s="19">
        <f t="shared" si="4"/>
        <v>13.089969389957473</v>
      </c>
      <c r="Y35" s="19">
        <f t="shared" si="4"/>
        <v>15.838862961848543</v>
      </c>
      <c r="Z35" s="19">
        <f t="shared" si="4"/>
        <v>18.849555921538759</v>
      </c>
      <c r="AA35" s="189">
        <f t="shared" si="5"/>
        <v>4.166666666666667</v>
      </c>
    </row>
    <row r="36" spans="2:27">
      <c r="B36" s="67">
        <v>20</v>
      </c>
      <c r="C36" s="17">
        <v>14.6</v>
      </c>
      <c r="D36" s="17">
        <f t="shared" si="11"/>
        <v>9.4247779607693793</v>
      </c>
      <c r="E36" s="17">
        <f>C36+4</f>
        <v>18.600000000000001</v>
      </c>
      <c r="F36" s="17">
        <f t="shared" si="10"/>
        <v>12.566370614359172</v>
      </c>
      <c r="G36" s="17">
        <f>E36+4</f>
        <v>22.6</v>
      </c>
      <c r="H36" s="17">
        <f t="shared" si="10"/>
        <v>15.707963267948966</v>
      </c>
      <c r="I36" s="17">
        <f>G36+4</f>
        <v>26.6</v>
      </c>
      <c r="J36" s="17">
        <f t="shared" si="7"/>
        <v>18.849555921538759</v>
      </c>
      <c r="K36" s="17">
        <f>I36+4</f>
        <v>30.6</v>
      </c>
      <c r="L36" s="17">
        <f t="shared" si="8"/>
        <v>21.991148575128552</v>
      </c>
      <c r="M36" s="17">
        <f>K36+4</f>
        <v>34.6</v>
      </c>
      <c r="N36" s="29">
        <f t="shared" si="9"/>
        <v>25.132741228718345</v>
      </c>
      <c r="P36" s="182">
        <v>25</v>
      </c>
      <c r="Q36" s="19">
        <f t="shared" si="4"/>
        <v>1.1309733552923256</v>
      </c>
      <c r="R36" s="19">
        <f t="shared" si="4"/>
        <v>2.0106192982974678</v>
      </c>
      <c r="S36" s="19">
        <f t="shared" si="4"/>
        <v>3.1415926535897931</v>
      </c>
      <c r="T36" s="19">
        <f t="shared" si="4"/>
        <v>4.5238934211693023</v>
      </c>
      <c r="U36" s="19">
        <f t="shared" si="4"/>
        <v>6.1575216010359926</v>
      </c>
      <c r="V36" s="19">
        <f t="shared" si="4"/>
        <v>8.0424771931898711</v>
      </c>
      <c r="W36" s="19">
        <f t="shared" si="4"/>
        <v>10.178760197630931</v>
      </c>
      <c r="X36" s="19">
        <f t="shared" si="4"/>
        <v>12.566370614359172</v>
      </c>
      <c r="Y36" s="19">
        <f t="shared" si="4"/>
        <v>15.205308443374602</v>
      </c>
      <c r="Z36" s="19">
        <f t="shared" si="4"/>
        <v>18.095573684677209</v>
      </c>
      <c r="AA36" s="189">
        <f t="shared" si="5"/>
        <v>4</v>
      </c>
    </row>
    <row r="37" spans="2:27">
      <c r="B37" s="67">
        <v>22</v>
      </c>
      <c r="C37" s="17">
        <v>15.6</v>
      </c>
      <c r="D37" s="17">
        <f t="shared" si="11"/>
        <v>11.40398133253095</v>
      </c>
      <c r="E37" s="17">
        <f>C37+4.4</f>
        <v>20</v>
      </c>
      <c r="F37" s="17">
        <f t="shared" si="10"/>
        <v>15.205308443374602</v>
      </c>
      <c r="G37" s="17">
        <f>E37+4.4</f>
        <v>24.4</v>
      </c>
      <c r="H37" s="17">
        <f t="shared" si="10"/>
        <v>19.006635554218253</v>
      </c>
      <c r="I37" s="17">
        <f>G37+4.4</f>
        <v>28.799999999999997</v>
      </c>
      <c r="J37" s="17">
        <f t="shared" si="7"/>
        <v>22.807962665061901</v>
      </c>
      <c r="K37" s="17">
        <f>I37+4.4</f>
        <v>33.199999999999996</v>
      </c>
      <c r="L37" s="17">
        <f t="shared" si="8"/>
        <v>26.609289775905552</v>
      </c>
      <c r="M37" s="17">
        <f>K37+4.4</f>
        <v>37.599999999999994</v>
      </c>
      <c r="N37" s="29">
        <f t="shared" si="9"/>
        <v>30.410616886749203</v>
      </c>
      <c r="P37" s="182">
        <v>26</v>
      </c>
      <c r="Q37" s="19">
        <f t="shared" si="4"/>
        <v>1.0874743800887745</v>
      </c>
      <c r="R37" s="19">
        <f t="shared" si="4"/>
        <v>1.9332877868244884</v>
      </c>
      <c r="S37" s="19">
        <f t="shared" si="4"/>
        <v>3.0207621669132627</v>
      </c>
      <c r="T37" s="19">
        <f t="shared" si="4"/>
        <v>4.349897520355098</v>
      </c>
      <c r="U37" s="19">
        <f t="shared" si="4"/>
        <v>5.9206938471499928</v>
      </c>
      <c r="V37" s="19">
        <f t="shared" si="4"/>
        <v>7.7331511472979537</v>
      </c>
      <c r="W37" s="19">
        <f t="shared" si="4"/>
        <v>9.787269420798971</v>
      </c>
      <c r="X37" s="19">
        <f t="shared" si="4"/>
        <v>12.083048667653051</v>
      </c>
      <c r="Y37" s="19">
        <f t="shared" si="4"/>
        <v>14.620488887860194</v>
      </c>
      <c r="Z37" s="19">
        <f t="shared" si="4"/>
        <v>17.399590081420392</v>
      </c>
      <c r="AA37" s="189">
        <f t="shared" si="5"/>
        <v>3.8461538461538463</v>
      </c>
    </row>
    <row r="38" spans="2:27">
      <c r="B38" s="67">
        <v>24</v>
      </c>
      <c r="C38" s="17">
        <v>16.600000000000001</v>
      </c>
      <c r="D38" s="17">
        <f t="shared" si="11"/>
        <v>13.571680263507908</v>
      </c>
      <c r="E38" s="17">
        <f>C38+4.8</f>
        <v>21.400000000000002</v>
      </c>
      <c r="F38" s="17">
        <f t="shared" si="10"/>
        <v>18.095573684677209</v>
      </c>
      <c r="G38" s="17">
        <f>E38+4.8</f>
        <v>26.200000000000003</v>
      </c>
      <c r="H38" s="17">
        <f t="shared" si="10"/>
        <v>22.61946710584651</v>
      </c>
      <c r="I38" s="17">
        <f>G38+4.8</f>
        <v>31.000000000000004</v>
      </c>
      <c r="J38" s="17">
        <f t="shared" si="7"/>
        <v>27.143360527015815</v>
      </c>
      <c r="K38" s="17">
        <f>I38+4.8</f>
        <v>35.800000000000004</v>
      </c>
      <c r="L38" s="17">
        <f t="shared" si="8"/>
        <v>31.667253948185117</v>
      </c>
      <c r="M38" s="17">
        <f>K38+4.8</f>
        <v>40.6</v>
      </c>
      <c r="N38" s="29">
        <f t="shared" si="9"/>
        <v>36.191147369354418</v>
      </c>
      <c r="P38" s="182">
        <v>27</v>
      </c>
      <c r="Q38" s="19">
        <f t="shared" si="4"/>
        <v>1.0471975511965976</v>
      </c>
      <c r="R38" s="19">
        <f t="shared" si="4"/>
        <v>1.8616845354606184</v>
      </c>
      <c r="S38" s="19">
        <f t="shared" si="4"/>
        <v>2.9088820866572158</v>
      </c>
      <c r="T38" s="19">
        <f t="shared" si="4"/>
        <v>4.1887902047863905</v>
      </c>
      <c r="U38" s="19">
        <f t="shared" si="4"/>
        <v>5.7014088898481416</v>
      </c>
      <c r="V38" s="19">
        <f t="shared" si="4"/>
        <v>7.4467381418424736</v>
      </c>
      <c r="W38" s="19">
        <f t="shared" si="4"/>
        <v>9.4247779607693793</v>
      </c>
      <c r="X38" s="19">
        <f t="shared" si="4"/>
        <v>11.635528346628863</v>
      </c>
      <c r="Y38" s="19">
        <f t="shared" si="4"/>
        <v>14.078989299420927</v>
      </c>
      <c r="Z38" s="19">
        <f t="shared" si="4"/>
        <v>16.755160819145562</v>
      </c>
      <c r="AA38" s="189">
        <f t="shared" si="5"/>
        <v>3.7037037037037037</v>
      </c>
    </row>
    <row r="39" spans="2:27">
      <c r="B39" s="67">
        <v>26</v>
      </c>
      <c r="C39" s="17">
        <v>18</v>
      </c>
      <c r="D39" s="17">
        <f t="shared" si="11"/>
        <v>15.927874753700252</v>
      </c>
      <c r="E39" s="17">
        <f>C39+5.2</f>
        <v>23.2</v>
      </c>
      <c r="F39" s="17">
        <f t="shared" si="10"/>
        <v>21.237166338267002</v>
      </c>
      <c r="G39" s="17">
        <f>E39+5.2</f>
        <v>28.4</v>
      </c>
      <c r="H39" s="17">
        <f t="shared" si="10"/>
        <v>26.546457922833753</v>
      </c>
      <c r="I39" s="17">
        <f>G39+5.2</f>
        <v>33.6</v>
      </c>
      <c r="J39" s="17">
        <f t="shared" si="7"/>
        <v>31.855749507400503</v>
      </c>
      <c r="K39" s="17">
        <f>I39+5.2</f>
        <v>38.800000000000004</v>
      </c>
      <c r="L39" s="17">
        <f t="shared" si="8"/>
        <v>37.165041091967254</v>
      </c>
      <c r="M39" s="17">
        <f>K39+5.2</f>
        <v>44.000000000000007</v>
      </c>
      <c r="N39" s="29">
        <f t="shared" si="9"/>
        <v>42.474332676534004</v>
      </c>
      <c r="P39" s="182">
        <v>28</v>
      </c>
      <c r="Q39" s="19">
        <f t="shared" si="4"/>
        <v>1.0097976386538621</v>
      </c>
      <c r="R39" s="19">
        <f t="shared" si="4"/>
        <v>1.7951958020513106</v>
      </c>
      <c r="S39" s="19">
        <f t="shared" si="4"/>
        <v>2.8049934407051724</v>
      </c>
      <c r="T39" s="19">
        <f t="shared" si="4"/>
        <v>4.0391905546154483</v>
      </c>
      <c r="U39" s="19">
        <f t="shared" si="4"/>
        <v>5.4977871437821362</v>
      </c>
      <c r="V39" s="19">
        <f t="shared" si="4"/>
        <v>7.1807832082052423</v>
      </c>
      <c r="W39" s="19">
        <f t="shared" si="4"/>
        <v>9.0881787478847595</v>
      </c>
      <c r="X39" s="19">
        <f t="shared" si="4"/>
        <v>11.21997376282069</v>
      </c>
      <c r="Y39" s="19">
        <f t="shared" si="4"/>
        <v>13.576168253013037</v>
      </c>
      <c r="Z39" s="19">
        <f t="shared" si="4"/>
        <v>16.156762218461793</v>
      </c>
      <c r="AA39" s="189">
        <f t="shared" si="5"/>
        <v>3.5714285714285716</v>
      </c>
    </row>
    <row r="40" spans="2:27">
      <c r="B40" s="67">
        <v>28</v>
      </c>
      <c r="C40" s="17">
        <v>19</v>
      </c>
      <c r="D40" s="17">
        <f t="shared" si="11"/>
        <v>18.472564803107979</v>
      </c>
      <c r="E40" s="17">
        <f>C40+5.6</f>
        <v>24.6</v>
      </c>
      <c r="F40" s="17">
        <f t="shared" si="10"/>
        <v>24.630086404143974</v>
      </c>
      <c r="G40" s="17">
        <f>E40+5.6</f>
        <v>30.200000000000003</v>
      </c>
      <c r="H40" s="17">
        <f t="shared" si="10"/>
        <v>30.787608005179969</v>
      </c>
      <c r="I40" s="17">
        <f>G40+5.6</f>
        <v>35.800000000000004</v>
      </c>
      <c r="J40" s="17">
        <f t="shared" si="7"/>
        <v>36.945129606215957</v>
      </c>
      <c r="K40" s="17">
        <f>I40+5.6</f>
        <v>41.400000000000006</v>
      </c>
      <c r="L40" s="17">
        <f t="shared" si="8"/>
        <v>43.102651207251952</v>
      </c>
      <c r="M40" s="17">
        <f>K40+5.6</f>
        <v>47.000000000000007</v>
      </c>
      <c r="N40" s="29">
        <f t="shared" si="9"/>
        <v>49.260172808287948</v>
      </c>
      <c r="P40" s="182">
        <v>29</v>
      </c>
      <c r="Q40" s="19">
        <f t="shared" si="4"/>
        <v>0.97497703042441852</v>
      </c>
      <c r="R40" s="19">
        <f t="shared" si="4"/>
        <v>1.7332924985322999</v>
      </c>
      <c r="S40" s="19">
        <f t="shared" si="4"/>
        <v>2.7082695289567185</v>
      </c>
      <c r="T40" s="19">
        <f t="shared" si="4"/>
        <v>3.8999081216976741</v>
      </c>
      <c r="U40" s="19">
        <f t="shared" si="4"/>
        <v>5.3082082767551659</v>
      </c>
      <c r="V40" s="19">
        <f t="shared" si="4"/>
        <v>6.9331699941291998</v>
      </c>
      <c r="W40" s="19">
        <f t="shared" si="4"/>
        <v>8.7747932738197676</v>
      </c>
      <c r="X40" s="19">
        <f t="shared" si="4"/>
        <v>10.833078115826874</v>
      </c>
      <c r="Y40" s="19">
        <f t="shared" si="4"/>
        <v>13.108024520150519</v>
      </c>
      <c r="Z40" s="19">
        <f t="shared" si="4"/>
        <v>15.599632486790696</v>
      </c>
      <c r="AA40" s="189">
        <f t="shared" si="5"/>
        <v>3.4482758620689653</v>
      </c>
    </row>
    <row r="41" spans="2:27" ht="13.8" thickBot="1">
      <c r="B41" s="67">
        <v>30</v>
      </c>
      <c r="C41" s="17">
        <v>20</v>
      </c>
      <c r="D41" s="17">
        <f t="shared" si="11"/>
        <v>21.205750411731103</v>
      </c>
      <c r="E41" s="17">
        <f>C41+6</f>
        <v>26</v>
      </c>
      <c r="F41" s="17">
        <f t="shared" si="10"/>
        <v>28.274333882308138</v>
      </c>
      <c r="G41" s="17">
        <f>E41+6</f>
        <v>32</v>
      </c>
      <c r="H41" s="17">
        <f t="shared" si="10"/>
        <v>35.342917352885173</v>
      </c>
      <c r="I41" s="17">
        <f>G41+6</f>
        <v>38</v>
      </c>
      <c r="J41" s="17">
        <f t="shared" si="7"/>
        <v>42.411500823462205</v>
      </c>
      <c r="K41" s="17">
        <f>I41+6</f>
        <v>44</v>
      </c>
      <c r="L41" s="17">
        <f t="shared" si="8"/>
        <v>49.480084294039244</v>
      </c>
      <c r="M41" s="17">
        <f>K41+6</f>
        <v>50</v>
      </c>
      <c r="N41" s="29">
        <f t="shared" si="9"/>
        <v>56.548667764616276</v>
      </c>
      <c r="P41" s="183">
        <v>30</v>
      </c>
      <c r="Q41" s="20">
        <f t="shared" si="4"/>
        <v>0.94247779607693793</v>
      </c>
      <c r="R41" s="20">
        <f t="shared" si="4"/>
        <v>1.6755160819145565</v>
      </c>
      <c r="S41" s="20">
        <f t="shared" si="4"/>
        <v>2.6179938779914944</v>
      </c>
      <c r="T41" s="20">
        <f t="shared" si="4"/>
        <v>3.7699111843077517</v>
      </c>
      <c r="U41" s="20">
        <f t="shared" si="4"/>
        <v>5.1312680008633276</v>
      </c>
      <c r="V41" s="20">
        <f t="shared" si="4"/>
        <v>6.7020643276582259</v>
      </c>
      <c r="W41" s="20">
        <f t="shared" si="4"/>
        <v>8.4823001646924414</v>
      </c>
      <c r="X41" s="20">
        <f t="shared" si="4"/>
        <v>10.471975511965978</v>
      </c>
      <c r="Y41" s="20">
        <f t="shared" si="4"/>
        <v>12.671090369478835</v>
      </c>
      <c r="Z41" s="20">
        <f t="shared" si="4"/>
        <v>15.079644737231007</v>
      </c>
      <c r="AA41" s="190">
        <f t="shared" si="5"/>
        <v>3.3333333333333335</v>
      </c>
    </row>
    <row r="42" spans="2:27" ht="13.8" thickTop="1">
      <c r="B42" s="67">
        <v>32</v>
      </c>
      <c r="C42" s="17">
        <v>21.4</v>
      </c>
      <c r="D42" s="17">
        <f t="shared" si="11"/>
        <v>24.127431579569613</v>
      </c>
      <c r="E42" s="17">
        <f>C42+6.4</f>
        <v>27.799999999999997</v>
      </c>
      <c r="F42" s="17">
        <f t="shared" si="10"/>
        <v>32.169908772759484</v>
      </c>
      <c r="G42" s="17">
        <f>E42+6.4</f>
        <v>34.199999999999996</v>
      </c>
      <c r="H42" s="17">
        <f t="shared" si="10"/>
        <v>40.212385965949352</v>
      </c>
      <c r="I42" s="17">
        <f>G42+6.4</f>
        <v>40.599999999999994</v>
      </c>
      <c r="J42" s="17">
        <f t="shared" si="7"/>
        <v>48.254863159139227</v>
      </c>
      <c r="K42" s="17">
        <f>I42+6.4</f>
        <v>46.999999999999993</v>
      </c>
      <c r="L42" s="17">
        <f t="shared" si="8"/>
        <v>56.297340352329101</v>
      </c>
      <c r="M42" s="17">
        <f>K42+6.4</f>
        <v>53.399999999999991</v>
      </c>
      <c r="N42" s="29">
        <f t="shared" si="9"/>
        <v>64.339817545518969</v>
      </c>
      <c r="P42" s="179"/>
    </row>
    <row r="43" spans="2:27">
      <c r="B43" s="67">
        <v>34</v>
      </c>
      <c r="C43" s="17">
        <v>22.4</v>
      </c>
      <c r="D43" s="17">
        <f t="shared" si="11"/>
        <v>27.2376083066235</v>
      </c>
      <c r="E43" s="17">
        <f>C43+6.8</f>
        <v>29.2</v>
      </c>
      <c r="F43" s="17">
        <f t="shared" si="10"/>
        <v>36.316811075498002</v>
      </c>
      <c r="G43" s="17">
        <f>E43+6.8</f>
        <v>36</v>
      </c>
      <c r="H43" s="17">
        <f t="shared" si="10"/>
        <v>45.396013844372504</v>
      </c>
      <c r="I43" s="17">
        <f>G43+6.8</f>
        <v>42.8</v>
      </c>
      <c r="J43" s="17">
        <f t="shared" si="7"/>
        <v>54.475216613246999</v>
      </c>
      <c r="K43" s="17">
        <f>I43+6.8</f>
        <v>49.599999999999994</v>
      </c>
      <c r="L43" s="17">
        <f t="shared" si="8"/>
        <v>63.554419382121502</v>
      </c>
      <c r="M43" s="17">
        <f>K43+6.8</f>
        <v>56.399999999999991</v>
      </c>
      <c r="N43" s="29">
        <f t="shared" si="9"/>
        <v>72.633622150996004</v>
      </c>
      <c r="P43" s="179"/>
    </row>
    <row r="44" spans="2:27">
      <c r="B44" s="67">
        <v>36</v>
      </c>
      <c r="C44" s="17">
        <v>23.4</v>
      </c>
      <c r="D44" s="17">
        <f t="shared" si="11"/>
        <v>30.536280592892794</v>
      </c>
      <c r="E44" s="17">
        <f>C44+7.2</f>
        <v>30.599999999999998</v>
      </c>
      <c r="F44" s="17">
        <f t="shared" si="10"/>
        <v>40.715040790523723</v>
      </c>
      <c r="G44" s="17">
        <f>E44+7.2</f>
        <v>37.799999999999997</v>
      </c>
      <c r="H44" s="17">
        <f t="shared" si="10"/>
        <v>50.893800988154652</v>
      </c>
      <c r="I44" s="17">
        <f>G44+7.2</f>
        <v>45</v>
      </c>
      <c r="J44" s="17">
        <f t="shared" si="7"/>
        <v>61.072561185785588</v>
      </c>
      <c r="K44" s="17">
        <f>I44+7.2</f>
        <v>52.2</v>
      </c>
      <c r="L44" s="17">
        <f t="shared" si="8"/>
        <v>71.25132138341651</v>
      </c>
      <c r="M44" s="17">
        <f>K44+7.2</f>
        <v>59.400000000000006</v>
      </c>
      <c r="N44" s="29">
        <f t="shared" si="9"/>
        <v>81.430081581047446</v>
      </c>
      <c r="P44" s="179"/>
    </row>
    <row r="45" spans="2:27">
      <c r="B45" s="67">
        <v>38</v>
      </c>
      <c r="C45" s="17">
        <v>24.8</v>
      </c>
      <c r="D45" s="17">
        <f t="shared" si="11"/>
        <v>34.023448438377457</v>
      </c>
      <c r="E45" s="17">
        <f>C45+7.6</f>
        <v>32.4</v>
      </c>
      <c r="F45" s="17">
        <f t="shared" si="10"/>
        <v>45.364597917836612</v>
      </c>
      <c r="G45" s="17">
        <f>E45+7.6</f>
        <v>40</v>
      </c>
      <c r="H45" s="17">
        <f t="shared" si="10"/>
        <v>56.705747397295767</v>
      </c>
      <c r="I45" s="17">
        <f>G45+7.6</f>
        <v>47.6</v>
      </c>
      <c r="J45" s="17">
        <f t="shared" si="7"/>
        <v>68.046896876754914</v>
      </c>
      <c r="K45" s="17">
        <f>I45+7.6</f>
        <v>55.2</v>
      </c>
      <c r="L45" s="17">
        <f t="shared" si="8"/>
        <v>79.388046356214076</v>
      </c>
      <c r="M45" s="17">
        <f>K45+7.6</f>
        <v>62.800000000000004</v>
      </c>
      <c r="N45" s="29">
        <f t="shared" si="9"/>
        <v>90.729195835673224</v>
      </c>
      <c r="P45" s="179"/>
    </row>
    <row r="46" spans="2:27" ht="13.8" thickBot="1">
      <c r="B46" s="69">
        <v>40</v>
      </c>
      <c r="C46" s="18">
        <v>25.8</v>
      </c>
      <c r="D46" s="18">
        <f t="shared" si="11"/>
        <v>37.699111843077517</v>
      </c>
      <c r="E46" s="18">
        <f>C46+8</f>
        <v>33.799999999999997</v>
      </c>
      <c r="F46" s="18">
        <f t="shared" si="10"/>
        <v>50.26548245743669</v>
      </c>
      <c r="G46" s="18">
        <f>E46+8</f>
        <v>41.8</v>
      </c>
      <c r="H46" s="18">
        <f t="shared" si="10"/>
        <v>62.831853071795862</v>
      </c>
      <c r="I46" s="18">
        <f>G46+8</f>
        <v>49.8</v>
      </c>
      <c r="J46" s="18">
        <f t="shared" si="7"/>
        <v>75.398223686155035</v>
      </c>
      <c r="K46" s="18">
        <f>I46+8</f>
        <v>57.8</v>
      </c>
      <c r="L46" s="18">
        <f t="shared" si="8"/>
        <v>87.964594300514207</v>
      </c>
      <c r="M46" s="18">
        <f>K46+8</f>
        <v>65.8</v>
      </c>
      <c r="N46" s="30">
        <f t="shared" si="9"/>
        <v>100.53096491487338</v>
      </c>
      <c r="P46" s="179"/>
    </row>
    <row r="47" spans="2:27" ht="13.8" thickTop="1">
      <c r="P47" s="179"/>
    </row>
    <row r="48" spans="2:27" ht="20.100000000000001" customHeight="1" thickBot="1">
      <c r="B48" s="538" t="s">
        <v>591</v>
      </c>
      <c r="C48" s="538"/>
      <c r="D48" s="538"/>
      <c r="E48" s="538"/>
      <c r="F48" s="538"/>
      <c r="G48" s="538"/>
      <c r="H48" s="538"/>
      <c r="I48" s="538"/>
      <c r="J48" s="538"/>
      <c r="K48" s="538"/>
      <c r="L48" s="538"/>
      <c r="M48" s="538"/>
      <c r="N48" s="538"/>
      <c r="O48" s="538"/>
      <c r="P48" s="538"/>
      <c r="R48" s="198" t="s">
        <v>597</v>
      </c>
      <c r="Y48" s="576" t="s">
        <v>601</v>
      </c>
      <c r="Z48" s="576"/>
    </row>
    <row r="49" spans="2:32" ht="13.5" customHeight="1" thickTop="1" thickBot="1">
      <c r="B49" s="149" t="s">
        <v>592</v>
      </c>
      <c r="C49" s="456" t="s">
        <v>593</v>
      </c>
      <c r="D49" s="456"/>
      <c r="E49" s="456"/>
      <c r="F49" s="456"/>
      <c r="G49" s="456"/>
      <c r="H49" s="456"/>
      <c r="I49" s="456"/>
      <c r="J49" s="456"/>
      <c r="K49" s="456"/>
      <c r="L49" s="456"/>
      <c r="M49" s="456"/>
      <c r="N49" s="456"/>
      <c r="O49" s="456"/>
      <c r="P49" s="457"/>
      <c r="R49" s="149" t="s">
        <v>18</v>
      </c>
      <c r="S49" s="192" t="s">
        <v>599</v>
      </c>
      <c r="T49" s="192"/>
      <c r="U49" s="150" t="s">
        <v>18</v>
      </c>
      <c r="V49" s="192" t="s">
        <v>599</v>
      </c>
      <c r="W49" s="193"/>
      <c r="X49" s="195"/>
      <c r="Y49" s="577"/>
      <c r="Z49" s="577"/>
      <c r="AA49" s="195"/>
      <c r="AB49" s="196"/>
      <c r="AC49" s="196"/>
      <c r="AD49" s="195"/>
      <c r="AE49" s="196"/>
      <c r="AF49" s="196"/>
    </row>
    <row r="50" spans="2:32" ht="13.8" thickTop="1">
      <c r="B50" s="67" t="s">
        <v>22</v>
      </c>
      <c r="C50" s="15">
        <v>1</v>
      </c>
      <c r="D50" s="15">
        <v>2</v>
      </c>
      <c r="E50" s="15">
        <v>3</v>
      </c>
      <c r="F50" s="15">
        <v>4</v>
      </c>
      <c r="G50" s="15">
        <v>5</v>
      </c>
      <c r="H50" s="15">
        <v>6</v>
      </c>
      <c r="I50" s="15">
        <v>7</v>
      </c>
      <c r="J50" s="15">
        <v>8</v>
      </c>
      <c r="K50" s="15">
        <v>9</v>
      </c>
      <c r="L50" s="15">
        <v>10</v>
      </c>
      <c r="M50" s="15">
        <v>11</v>
      </c>
      <c r="N50" s="15">
        <v>12</v>
      </c>
      <c r="O50" s="15">
        <v>13</v>
      </c>
      <c r="P50" s="16">
        <v>14</v>
      </c>
      <c r="R50" s="67" t="s">
        <v>598</v>
      </c>
      <c r="S50" s="176">
        <v>45</v>
      </c>
      <c r="T50" s="176">
        <v>60</v>
      </c>
      <c r="U50" s="15" t="s">
        <v>598</v>
      </c>
      <c r="V50" s="176">
        <v>45</v>
      </c>
      <c r="W50" s="177">
        <v>60</v>
      </c>
      <c r="X50" s="195"/>
      <c r="Y50" s="584" t="s">
        <v>592</v>
      </c>
      <c r="Z50" s="590" t="s">
        <v>602</v>
      </c>
      <c r="AA50" s="195"/>
      <c r="AB50" s="197"/>
      <c r="AC50" s="197"/>
      <c r="AD50" s="195"/>
      <c r="AE50" s="197"/>
      <c r="AF50" s="197"/>
    </row>
    <row r="51" spans="2:32">
      <c r="B51" s="67">
        <v>6</v>
      </c>
      <c r="C51" s="19">
        <f>((PI()*($B51/10)^2)/4*2)*C$50</f>
        <v>0.56548667764616278</v>
      </c>
      <c r="D51" s="19">
        <f>((PI()*($B51/10)^2)/4*2)*D$50</f>
        <v>1.1309733552923256</v>
      </c>
      <c r="E51" s="19">
        <f t="shared" ref="E51:P58" si="12">((PI()*($B51/10)^2)/4*2)*E$50</f>
        <v>1.6964600329384885</v>
      </c>
      <c r="F51" s="19">
        <f t="shared" si="12"/>
        <v>2.2619467105846511</v>
      </c>
      <c r="G51" s="19">
        <f t="shared" si="12"/>
        <v>2.8274333882308138</v>
      </c>
      <c r="H51" s="19">
        <f t="shared" si="12"/>
        <v>3.3929200658769769</v>
      </c>
      <c r="I51" s="19">
        <f t="shared" si="12"/>
        <v>3.9584067435231396</v>
      </c>
      <c r="J51" s="19">
        <f t="shared" si="12"/>
        <v>4.5238934211693023</v>
      </c>
      <c r="K51" s="19">
        <f t="shared" si="12"/>
        <v>5.0893800988154654</v>
      </c>
      <c r="L51" s="19">
        <f t="shared" si="12"/>
        <v>5.6548667764616276</v>
      </c>
      <c r="M51" s="19">
        <f t="shared" si="12"/>
        <v>6.2203534541077907</v>
      </c>
      <c r="N51" s="19">
        <f t="shared" si="12"/>
        <v>6.7858401317539538</v>
      </c>
      <c r="O51" s="19">
        <f t="shared" si="12"/>
        <v>7.3513268094001161</v>
      </c>
      <c r="P51" s="173">
        <f t="shared" si="12"/>
        <v>7.9168134870462792</v>
      </c>
      <c r="R51" s="67">
        <v>20</v>
      </c>
      <c r="S51" s="2">
        <v>19</v>
      </c>
      <c r="T51" s="194" t="s">
        <v>600</v>
      </c>
      <c r="U51" s="15">
        <v>115</v>
      </c>
      <c r="V51" s="2">
        <v>153</v>
      </c>
      <c r="W51" s="3">
        <v>126</v>
      </c>
      <c r="X51" s="195"/>
      <c r="Y51" s="585"/>
      <c r="Z51" s="591"/>
      <c r="AA51" s="195"/>
      <c r="AB51" s="195"/>
      <c r="AC51" s="195"/>
      <c r="AD51" s="195"/>
      <c r="AE51" s="195"/>
      <c r="AF51" s="195"/>
    </row>
    <row r="52" spans="2:32">
      <c r="B52" s="67">
        <v>8</v>
      </c>
      <c r="C52" s="19">
        <f t="shared" ref="C52:C58" si="13">(PI()*($B52/10)^2)/4*2</f>
        <v>1.0053096491487339</v>
      </c>
      <c r="D52" s="19">
        <f t="shared" ref="D52:D58" si="14">((PI()*($B52/10)^2)/4*2)*D$50</f>
        <v>2.0106192982974678</v>
      </c>
      <c r="E52" s="19">
        <f t="shared" si="12"/>
        <v>3.0159289474462017</v>
      </c>
      <c r="F52" s="19">
        <f t="shared" si="12"/>
        <v>4.0212385965949355</v>
      </c>
      <c r="G52" s="19">
        <f t="shared" si="12"/>
        <v>5.026548245743669</v>
      </c>
      <c r="H52" s="19">
        <f t="shared" si="12"/>
        <v>6.0318578948924033</v>
      </c>
      <c r="I52" s="19">
        <f t="shared" si="12"/>
        <v>7.0371675440411376</v>
      </c>
      <c r="J52" s="19">
        <f t="shared" si="12"/>
        <v>8.0424771931898711</v>
      </c>
      <c r="K52" s="19">
        <f t="shared" si="12"/>
        <v>9.0477868423386045</v>
      </c>
      <c r="L52" s="19">
        <f t="shared" si="12"/>
        <v>10.053096491487338</v>
      </c>
      <c r="M52" s="19">
        <f t="shared" si="12"/>
        <v>11.058406140636073</v>
      </c>
      <c r="N52" s="19">
        <f t="shared" si="12"/>
        <v>12.063715789784807</v>
      </c>
      <c r="O52" s="19">
        <f t="shared" si="12"/>
        <v>13.06902543893354</v>
      </c>
      <c r="P52" s="173">
        <f t="shared" si="12"/>
        <v>14.074335088082275</v>
      </c>
      <c r="R52" s="67">
        <v>25</v>
      </c>
      <c r="S52" s="2">
        <v>26</v>
      </c>
      <c r="T52" s="194" t="s">
        <v>600</v>
      </c>
      <c r="U52" s="15">
        <v>120</v>
      </c>
      <c r="V52" s="2">
        <v>160</v>
      </c>
      <c r="W52" s="3">
        <v>132</v>
      </c>
      <c r="X52" s="195"/>
      <c r="Y52" s="70" t="s">
        <v>22</v>
      </c>
      <c r="Z52" s="177" t="s">
        <v>598</v>
      </c>
      <c r="AA52" s="195"/>
      <c r="AB52" s="195"/>
      <c r="AC52" s="195"/>
      <c r="AD52" s="195"/>
      <c r="AE52" s="195"/>
      <c r="AF52" s="195"/>
    </row>
    <row r="53" spans="2:32">
      <c r="B53" s="67">
        <v>10</v>
      </c>
      <c r="C53" s="19">
        <f t="shared" si="13"/>
        <v>1.5707963267948966</v>
      </c>
      <c r="D53" s="19">
        <f t="shared" si="14"/>
        <v>3.1415926535897931</v>
      </c>
      <c r="E53" s="19">
        <f t="shared" si="12"/>
        <v>4.7123889803846897</v>
      </c>
      <c r="F53" s="19">
        <f t="shared" si="12"/>
        <v>6.2831853071795862</v>
      </c>
      <c r="G53" s="19">
        <f t="shared" si="12"/>
        <v>7.8539816339744828</v>
      </c>
      <c r="H53" s="19">
        <f t="shared" si="12"/>
        <v>9.4247779607693793</v>
      </c>
      <c r="I53" s="19">
        <f t="shared" si="12"/>
        <v>10.995574287564276</v>
      </c>
      <c r="J53" s="19">
        <f t="shared" si="12"/>
        <v>12.566370614359172</v>
      </c>
      <c r="K53" s="19">
        <f t="shared" si="12"/>
        <v>14.137166941154069</v>
      </c>
      <c r="L53" s="19">
        <f t="shared" si="12"/>
        <v>15.707963267948966</v>
      </c>
      <c r="M53" s="19">
        <f t="shared" si="12"/>
        <v>17.27875959474386</v>
      </c>
      <c r="N53" s="19">
        <f t="shared" si="12"/>
        <v>18.849555921538759</v>
      </c>
      <c r="O53" s="19">
        <f t="shared" si="12"/>
        <v>20.420352248333657</v>
      </c>
      <c r="P53" s="173">
        <f t="shared" si="12"/>
        <v>21.991148575128552</v>
      </c>
      <c r="R53" s="67">
        <v>30</v>
      </c>
      <c r="S53" s="2">
        <v>33</v>
      </c>
      <c r="T53" s="2">
        <v>27</v>
      </c>
      <c r="U53" s="15">
        <v>125</v>
      </c>
      <c r="V53" s="2">
        <v>167</v>
      </c>
      <c r="W53" s="3">
        <v>137</v>
      </c>
      <c r="X53" s="195"/>
      <c r="Y53" s="67">
        <v>8</v>
      </c>
      <c r="Z53" s="110">
        <v>6</v>
      </c>
      <c r="AA53" s="195"/>
      <c r="AB53" s="195"/>
      <c r="AC53" s="195"/>
      <c r="AD53" s="195"/>
      <c r="AE53" s="195"/>
      <c r="AF53" s="195"/>
    </row>
    <row r="54" spans="2:32">
      <c r="B54" s="67">
        <v>12</v>
      </c>
      <c r="C54" s="19">
        <f t="shared" si="13"/>
        <v>2.2619467105846511</v>
      </c>
      <c r="D54" s="19">
        <f t="shared" si="14"/>
        <v>4.5238934211693023</v>
      </c>
      <c r="E54" s="19">
        <f t="shared" si="12"/>
        <v>6.7858401317539538</v>
      </c>
      <c r="F54" s="19">
        <f t="shared" si="12"/>
        <v>9.0477868423386045</v>
      </c>
      <c r="G54" s="19">
        <f t="shared" si="12"/>
        <v>11.309733552923255</v>
      </c>
      <c r="H54" s="19">
        <f t="shared" si="12"/>
        <v>13.571680263507908</v>
      </c>
      <c r="I54" s="19">
        <f t="shared" si="12"/>
        <v>15.833626974092558</v>
      </c>
      <c r="J54" s="19">
        <f t="shared" si="12"/>
        <v>18.095573684677209</v>
      </c>
      <c r="K54" s="19">
        <f t="shared" si="12"/>
        <v>20.357520395261862</v>
      </c>
      <c r="L54" s="19">
        <f t="shared" si="12"/>
        <v>22.61946710584651</v>
      </c>
      <c r="M54" s="19">
        <f t="shared" si="12"/>
        <v>24.881413816431163</v>
      </c>
      <c r="N54" s="19">
        <f t="shared" si="12"/>
        <v>27.143360527015815</v>
      </c>
      <c r="O54" s="19">
        <f t="shared" si="12"/>
        <v>29.405307237600464</v>
      </c>
      <c r="P54" s="173">
        <f t="shared" si="12"/>
        <v>31.667253948185117</v>
      </c>
      <c r="R54" s="67">
        <v>35</v>
      </c>
      <c r="S54" s="2">
        <v>40</v>
      </c>
      <c r="T54" s="2">
        <v>33</v>
      </c>
      <c r="U54" s="15">
        <v>130</v>
      </c>
      <c r="V54" s="2">
        <v>174</v>
      </c>
      <c r="W54" s="3">
        <v>143</v>
      </c>
      <c r="X54" s="195"/>
      <c r="Y54" s="67">
        <v>10</v>
      </c>
      <c r="Z54" s="110">
        <v>10</v>
      </c>
      <c r="AA54" s="195"/>
      <c r="AB54" s="195"/>
      <c r="AC54" s="195"/>
      <c r="AD54" s="195"/>
      <c r="AE54" s="195"/>
      <c r="AF54" s="195"/>
    </row>
    <row r="55" spans="2:32">
      <c r="B55" s="67">
        <v>14</v>
      </c>
      <c r="C55" s="19">
        <f t="shared" si="13"/>
        <v>3.0787608005179967</v>
      </c>
      <c r="D55" s="19">
        <f t="shared" si="14"/>
        <v>6.1575216010359934</v>
      </c>
      <c r="E55" s="19">
        <f t="shared" si="12"/>
        <v>9.2362824015539893</v>
      </c>
      <c r="F55" s="19">
        <f t="shared" si="12"/>
        <v>12.315043202071987</v>
      </c>
      <c r="G55" s="19">
        <f t="shared" si="12"/>
        <v>15.393804002589984</v>
      </c>
      <c r="H55" s="19">
        <f t="shared" si="12"/>
        <v>18.472564803107979</v>
      </c>
      <c r="I55" s="19">
        <f t="shared" si="12"/>
        <v>21.551325603625976</v>
      </c>
      <c r="J55" s="19">
        <f t="shared" si="12"/>
        <v>24.630086404143974</v>
      </c>
      <c r="K55" s="19">
        <f t="shared" si="12"/>
        <v>27.708847204661971</v>
      </c>
      <c r="L55" s="19">
        <f t="shared" si="12"/>
        <v>30.787608005179969</v>
      </c>
      <c r="M55" s="19">
        <f t="shared" si="12"/>
        <v>33.866368805697967</v>
      </c>
      <c r="N55" s="19">
        <f t="shared" si="12"/>
        <v>36.945129606215957</v>
      </c>
      <c r="O55" s="19">
        <f t="shared" si="12"/>
        <v>40.023890406733955</v>
      </c>
      <c r="P55" s="173">
        <f t="shared" si="12"/>
        <v>43.102651207251952</v>
      </c>
      <c r="R55" s="67">
        <v>40</v>
      </c>
      <c r="S55" s="2">
        <v>47</v>
      </c>
      <c r="T55" s="2">
        <v>38</v>
      </c>
      <c r="U55" s="15">
        <v>135</v>
      </c>
      <c r="V55" s="2">
        <v>181</v>
      </c>
      <c r="W55" s="3">
        <v>149</v>
      </c>
      <c r="X55" s="195"/>
      <c r="Y55" s="67">
        <v>12</v>
      </c>
      <c r="Z55" s="110">
        <v>10</v>
      </c>
      <c r="AA55" s="195"/>
      <c r="AB55" s="195"/>
      <c r="AC55" s="195"/>
      <c r="AD55" s="195"/>
      <c r="AE55" s="195"/>
      <c r="AF55" s="195"/>
    </row>
    <row r="56" spans="2:32">
      <c r="B56" s="67">
        <v>16</v>
      </c>
      <c r="C56" s="19">
        <f t="shared" si="13"/>
        <v>4.0212385965949355</v>
      </c>
      <c r="D56" s="19">
        <f t="shared" si="14"/>
        <v>8.0424771931898711</v>
      </c>
      <c r="E56" s="19">
        <f t="shared" si="12"/>
        <v>12.063715789784807</v>
      </c>
      <c r="F56" s="19">
        <f t="shared" si="12"/>
        <v>16.084954386379742</v>
      </c>
      <c r="G56" s="19">
        <f t="shared" si="12"/>
        <v>20.106192982974676</v>
      </c>
      <c r="H56" s="19">
        <f t="shared" si="12"/>
        <v>24.127431579569613</v>
      </c>
      <c r="I56" s="19">
        <f t="shared" si="12"/>
        <v>28.148670176164551</v>
      </c>
      <c r="J56" s="19">
        <f t="shared" si="12"/>
        <v>32.169908772759484</v>
      </c>
      <c r="K56" s="19">
        <f t="shared" si="12"/>
        <v>36.191147369354418</v>
      </c>
      <c r="L56" s="19">
        <f t="shared" si="12"/>
        <v>40.212385965949352</v>
      </c>
      <c r="M56" s="19">
        <f t="shared" si="12"/>
        <v>44.233624562544293</v>
      </c>
      <c r="N56" s="19">
        <f t="shared" si="12"/>
        <v>48.254863159139227</v>
      </c>
      <c r="O56" s="19">
        <f t="shared" si="12"/>
        <v>52.27610175573416</v>
      </c>
      <c r="P56" s="173">
        <f t="shared" si="12"/>
        <v>56.297340352329101</v>
      </c>
      <c r="R56" s="67">
        <v>45</v>
      </c>
      <c r="S56" s="2">
        <v>54</v>
      </c>
      <c r="T56" s="2">
        <v>44</v>
      </c>
      <c r="U56" s="15">
        <v>140</v>
      </c>
      <c r="V56" s="2">
        <v>188</v>
      </c>
      <c r="W56" s="3">
        <v>155</v>
      </c>
      <c r="X56" s="195"/>
      <c r="Y56" s="67">
        <v>14</v>
      </c>
      <c r="Z56" s="110">
        <v>10</v>
      </c>
      <c r="AA56" s="195"/>
      <c r="AB56" s="195"/>
      <c r="AC56" s="195"/>
      <c r="AD56" s="195"/>
      <c r="AE56" s="195"/>
      <c r="AF56" s="195"/>
    </row>
    <row r="57" spans="2:32">
      <c r="B57" s="67">
        <v>18</v>
      </c>
      <c r="C57" s="19">
        <f t="shared" si="13"/>
        <v>5.0893800988154654</v>
      </c>
      <c r="D57" s="19">
        <f t="shared" si="14"/>
        <v>10.178760197630931</v>
      </c>
      <c r="E57" s="19">
        <f t="shared" si="12"/>
        <v>15.268140296446397</v>
      </c>
      <c r="F57" s="19">
        <f t="shared" si="12"/>
        <v>20.357520395261862</v>
      </c>
      <c r="G57" s="19">
        <f t="shared" si="12"/>
        <v>25.446900494077326</v>
      </c>
      <c r="H57" s="19">
        <f t="shared" si="12"/>
        <v>30.536280592892794</v>
      </c>
      <c r="I57" s="19">
        <f t="shared" si="12"/>
        <v>35.625660691708255</v>
      </c>
      <c r="J57" s="19">
        <f t="shared" si="12"/>
        <v>40.715040790523723</v>
      </c>
      <c r="K57" s="19">
        <f t="shared" si="12"/>
        <v>45.804420889339191</v>
      </c>
      <c r="L57" s="19">
        <f t="shared" si="12"/>
        <v>50.893800988154652</v>
      </c>
      <c r="M57" s="19">
        <f t="shared" si="12"/>
        <v>55.98318108697012</v>
      </c>
      <c r="N57" s="19">
        <f t="shared" si="12"/>
        <v>61.072561185785588</v>
      </c>
      <c r="O57" s="19">
        <f t="shared" si="12"/>
        <v>66.161941284601056</v>
      </c>
      <c r="P57" s="173">
        <f t="shared" si="12"/>
        <v>71.25132138341651</v>
      </c>
      <c r="R57" s="67">
        <v>50</v>
      </c>
      <c r="S57" s="2">
        <v>61</v>
      </c>
      <c r="T57" s="2">
        <v>50</v>
      </c>
      <c r="U57" s="15">
        <v>145</v>
      </c>
      <c r="V57" s="2">
        <v>195</v>
      </c>
      <c r="W57" s="3">
        <v>161</v>
      </c>
      <c r="X57" s="195"/>
      <c r="Y57" s="67">
        <v>16</v>
      </c>
      <c r="Z57" s="110">
        <v>12</v>
      </c>
      <c r="AA57" s="195"/>
      <c r="AB57" s="195"/>
      <c r="AC57" s="195"/>
      <c r="AD57" s="195"/>
      <c r="AE57" s="195"/>
      <c r="AF57" s="195"/>
    </row>
    <row r="58" spans="2:32" ht="13.8" thickBot="1">
      <c r="B58" s="69">
        <v>20</v>
      </c>
      <c r="C58" s="20">
        <f t="shared" si="13"/>
        <v>6.2831853071795862</v>
      </c>
      <c r="D58" s="20">
        <f t="shared" si="14"/>
        <v>12.566370614359172</v>
      </c>
      <c r="E58" s="20">
        <f t="shared" si="12"/>
        <v>18.849555921538759</v>
      </c>
      <c r="F58" s="20">
        <f t="shared" si="12"/>
        <v>25.132741228718345</v>
      </c>
      <c r="G58" s="20">
        <f t="shared" si="12"/>
        <v>31.415926535897931</v>
      </c>
      <c r="H58" s="20">
        <f t="shared" si="12"/>
        <v>37.699111843077517</v>
      </c>
      <c r="I58" s="20">
        <f t="shared" si="12"/>
        <v>43.982297150257104</v>
      </c>
      <c r="J58" s="20">
        <f t="shared" si="12"/>
        <v>50.26548245743669</v>
      </c>
      <c r="K58" s="20">
        <f t="shared" si="12"/>
        <v>56.548667764616276</v>
      </c>
      <c r="L58" s="20">
        <f t="shared" si="12"/>
        <v>62.831853071795862</v>
      </c>
      <c r="M58" s="20">
        <f t="shared" si="12"/>
        <v>69.115038378975441</v>
      </c>
      <c r="N58" s="20">
        <f t="shared" si="12"/>
        <v>75.398223686155035</v>
      </c>
      <c r="O58" s="20">
        <f t="shared" si="12"/>
        <v>81.681408993334628</v>
      </c>
      <c r="P58" s="174">
        <f t="shared" si="12"/>
        <v>87.964594300514207</v>
      </c>
      <c r="R58" s="67">
        <v>55</v>
      </c>
      <c r="S58" s="2">
        <v>68</v>
      </c>
      <c r="T58" s="2">
        <v>56</v>
      </c>
      <c r="U58" s="15">
        <v>150</v>
      </c>
      <c r="V58" s="2">
        <v>202</v>
      </c>
      <c r="W58" s="3">
        <v>166</v>
      </c>
      <c r="X58" s="195"/>
      <c r="Y58" s="67">
        <v>18</v>
      </c>
      <c r="Z58" s="110">
        <v>15</v>
      </c>
      <c r="AA58" s="195"/>
      <c r="AB58" s="195"/>
      <c r="AC58" s="195"/>
      <c r="AD58" s="195"/>
      <c r="AE58" s="195"/>
      <c r="AF58" s="195"/>
    </row>
    <row r="59" spans="2:32" ht="13.8" thickTop="1">
      <c r="R59" s="67">
        <v>60</v>
      </c>
      <c r="S59" s="2">
        <v>75</v>
      </c>
      <c r="T59" s="2">
        <v>61</v>
      </c>
      <c r="U59" s="15">
        <v>155</v>
      </c>
      <c r="V59" s="2">
        <v>209</v>
      </c>
      <c r="W59" s="3">
        <v>172</v>
      </c>
      <c r="X59" s="196"/>
      <c r="Y59" s="67">
        <v>20</v>
      </c>
      <c r="Z59" s="110">
        <v>15</v>
      </c>
      <c r="AA59" s="196"/>
      <c r="AB59" s="196"/>
      <c r="AC59" s="196"/>
      <c r="AD59" s="196"/>
      <c r="AE59" s="196"/>
      <c r="AF59" s="196"/>
    </row>
    <row r="60" spans="2:32" ht="20.100000000000001" customHeight="1" thickBot="1">
      <c r="B60" s="538" t="s">
        <v>595</v>
      </c>
      <c r="C60" s="538"/>
      <c r="D60" s="538"/>
      <c r="E60" s="538"/>
      <c r="F60" s="538"/>
      <c r="G60" s="538"/>
      <c r="H60" s="538"/>
      <c r="I60" s="538"/>
      <c r="J60" s="538"/>
      <c r="K60" s="538"/>
      <c r="L60" s="538"/>
      <c r="M60" s="538"/>
      <c r="N60" s="538"/>
      <c r="O60" s="538"/>
      <c r="P60" s="538"/>
      <c r="R60" s="67">
        <v>65</v>
      </c>
      <c r="S60" s="2">
        <v>82</v>
      </c>
      <c r="T60" s="2">
        <v>67</v>
      </c>
      <c r="U60" s="15">
        <v>160</v>
      </c>
      <c r="V60" s="2">
        <v>216</v>
      </c>
      <c r="W60" s="3">
        <v>178</v>
      </c>
      <c r="X60" s="196"/>
      <c r="Y60" s="67">
        <v>22</v>
      </c>
      <c r="Z60" s="110">
        <v>20</v>
      </c>
      <c r="AA60" s="196"/>
      <c r="AB60" s="196"/>
      <c r="AC60" s="196"/>
      <c r="AD60" s="196"/>
      <c r="AE60" s="196"/>
      <c r="AF60" s="196"/>
    </row>
    <row r="61" spans="2:32" ht="13.8" thickTop="1">
      <c r="B61" s="149" t="s">
        <v>592</v>
      </c>
      <c r="C61" s="456" t="s">
        <v>594</v>
      </c>
      <c r="D61" s="456"/>
      <c r="E61" s="456"/>
      <c r="F61" s="456"/>
      <c r="G61" s="456"/>
      <c r="H61" s="456"/>
      <c r="I61" s="456"/>
      <c r="J61" s="456"/>
      <c r="K61" s="456"/>
      <c r="L61" s="456"/>
      <c r="M61" s="456"/>
      <c r="N61" s="456"/>
      <c r="O61" s="456"/>
      <c r="P61" s="457"/>
      <c r="R61" s="67">
        <v>70</v>
      </c>
      <c r="S61" s="2">
        <v>90</v>
      </c>
      <c r="T61" s="2">
        <v>73</v>
      </c>
      <c r="U61" s="15">
        <v>165</v>
      </c>
      <c r="V61" s="2">
        <v>223</v>
      </c>
      <c r="W61" s="3">
        <v>184</v>
      </c>
      <c r="X61" s="196"/>
      <c r="Y61" s="67">
        <v>24</v>
      </c>
      <c r="Z61" s="110">
        <v>20</v>
      </c>
      <c r="AA61" s="196"/>
      <c r="AB61" s="196"/>
      <c r="AC61" s="196"/>
      <c r="AD61" s="196"/>
      <c r="AE61" s="196"/>
      <c r="AF61" s="196"/>
    </row>
    <row r="62" spans="2:32">
      <c r="B62" s="67" t="s">
        <v>22</v>
      </c>
      <c r="C62" s="15">
        <v>1</v>
      </c>
      <c r="D62" s="15">
        <v>2</v>
      </c>
      <c r="E62" s="15">
        <v>3</v>
      </c>
      <c r="F62" s="15">
        <v>4</v>
      </c>
      <c r="G62" s="15">
        <v>5</v>
      </c>
      <c r="H62" s="15">
        <v>6</v>
      </c>
      <c r="I62" s="15">
        <v>7</v>
      </c>
      <c r="J62" s="15">
        <v>8</v>
      </c>
      <c r="K62" s="15">
        <v>9</v>
      </c>
      <c r="L62" s="15">
        <v>10</v>
      </c>
      <c r="M62" s="15">
        <v>11</v>
      </c>
      <c r="N62" s="15">
        <v>12</v>
      </c>
      <c r="O62" s="15">
        <v>13</v>
      </c>
      <c r="P62" s="16">
        <v>14</v>
      </c>
      <c r="R62" s="67">
        <v>75</v>
      </c>
      <c r="S62" s="2">
        <v>97</v>
      </c>
      <c r="T62" s="2">
        <v>79</v>
      </c>
      <c r="U62" s="15">
        <v>170</v>
      </c>
      <c r="V62" s="2">
        <v>231</v>
      </c>
      <c r="W62" s="3">
        <v>190</v>
      </c>
      <c r="Y62" s="67">
        <v>26</v>
      </c>
      <c r="Z62" s="110">
        <v>20</v>
      </c>
    </row>
    <row r="63" spans="2:32">
      <c r="B63" s="67">
        <v>8</v>
      </c>
      <c r="C63" s="19">
        <f t="shared" ref="C63:D84" si="15">((PI()*($B63/10)^2)/4)*C$50*(2^0.5)</f>
        <v>0.71086127010533873</v>
      </c>
      <c r="D63" s="19">
        <f t="shared" si="15"/>
        <v>1.4217225402106775</v>
      </c>
      <c r="E63" s="19">
        <f t="shared" ref="E63:P78" si="16">((PI()*($B63/10)^2)/4)*E$50*(2^0.5)</f>
        <v>2.132583810316016</v>
      </c>
      <c r="F63" s="19">
        <f t="shared" si="16"/>
        <v>2.8434450804213549</v>
      </c>
      <c r="G63" s="19">
        <f t="shared" si="16"/>
        <v>3.554306350526693</v>
      </c>
      <c r="H63" s="19">
        <f t="shared" si="16"/>
        <v>4.2651676206320319</v>
      </c>
      <c r="I63" s="19">
        <f t="shared" si="16"/>
        <v>4.9760288907373713</v>
      </c>
      <c r="J63" s="19">
        <f t="shared" si="16"/>
        <v>5.6868901608427098</v>
      </c>
      <c r="K63" s="19">
        <f t="shared" si="16"/>
        <v>6.3977514309480474</v>
      </c>
      <c r="L63" s="19">
        <f t="shared" si="16"/>
        <v>7.1086127010533859</v>
      </c>
      <c r="M63" s="19">
        <f t="shared" si="16"/>
        <v>7.8194739711587262</v>
      </c>
      <c r="N63" s="19">
        <f t="shared" si="16"/>
        <v>8.5303352412640638</v>
      </c>
      <c r="O63" s="19">
        <f t="shared" si="16"/>
        <v>9.2411965113694023</v>
      </c>
      <c r="P63" s="173">
        <f t="shared" si="16"/>
        <v>9.9520577814747426</v>
      </c>
      <c r="R63" s="67">
        <v>80</v>
      </c>
      <c r="S63" s="2">
        <v>104</v>
      </c>
      <c r="T63" s="2">
        <v>84</v>
      </c>
      <c r="U63" s="15">
        <v>175</v>
      </c>
      <c r="V63" s="2">
        <v>238</v>
      </c>
      <c r="W63" s="3">
        <v>195</v>
      </c>
      <c r="Y63" s="67">
        <v>28</v>
      </c>
      <c r="Z63" s="110">
        <v>20</v>
      </c>
    </row>
    <row r="64" spans="2:32">
      <c r="B64" s="67">
        <v>10</v>
      </c>
      <c r="C64" s="19">
        <f t="shared" si="15"/>
        <v>1.1107207345395915</v>
      </c>
      <c r="D64" s="19">
        <f t="shared" si="15"/>
        <v>2.2214414690791831</v>
      </c>
      <c r="E64" s="19">
        <f t="shared" si="16"/>
        <v>3.3321622036187746</v>
      </c>
      <c r="F64" s="19">
        <f t="shared" si="16"/>
        <v>4.4428829381583661</v>
      </c>
      <c r="G64" s="19">
        <f t="shared" si="16"/>
        <v>5.5536036726979576</v>
      </c>
      <c r="H64" s="19">
        <f t="shared" si="16"/>
        <v>6.6643244072375492</v>
      </c>
      <c r="I64" s="19">
        <f t="shared" si="16"/>
        <v>7.7750451417771416</v>
      </c>
      <c r="J64" s="19">
        <f t="shared" si="16"/>
        <v>8.8857658763167322</v>
      </c>
      <c r="K64" s="19">
        <f t="shared" si="16"/>
        <v>9.9964866108563246</v>
      </c>
      <c r="L64" s="19">
        <f t="shared" si="16"/>
        <v>11.107207345395915</v>
      </c>
      <c r="M64" s="19">
        <f t="shared" si="16"/>
        <v>12.217928079935506</v>
      </c>
      <c r="N64" s="19">
        <f t="shared" si="16"/>
        <v>13.328648814475098</v>
      </c>
      <c r="O64" s="19">
        <f t="shared" si="16"/>
        <v>14.439369549014692</v>
      </c>
      <c r="P64" s="173">
        <f t="shared" si="16"/>
        <v>15.550090283554283</v>
      </c>
      <c r="R64" s="67">
        <v>85</v>
      </c>
      <c r="S64" s="2">
        <v>111</v>
      </c>
      <c r="T64" s="2">
        <v>90</v>
      </c>
      <c r="U64" s="15">
        <v>180</v>
      </c>
      <c r="V64" s="2">
        <v>245</v>
      </c>
      <c r="W64" s="3">
        <v>201</v>
      </c>
      <c r="Y64" s="67">
        <v>30</v>
      </c>
      <c r="Z64" s="3">
        <v>25</v>
      </c>
    </row>
    <row r="65" spans="2:26" ht="13.8" thickBot="1">
      <c r="B65" s="67">
        <v>12</v>
      </c>
      <c r="C65" s="19">
        <f t="shared" si="15"/>
        <v>1.5994378577370119</v>
      </c>
      <c r="D65" s="19">
        <f t="shared" si="15"/>
        <v>3.1988757154740237</v>
      </c>
      <c r="E65" s="19">
        <f t="shared" si="16"/>
        <v>4.7983135732110362</v>
      </c>
      <c r="F65" s="19">
        <f t="shared" si="16"/>
        <v>6.3977514309480474</v>
      </c>
      <c r="G65" s="19">
        <f t="shared" si="16"/>
        <v>7.9971892886850595</v>
      </c>
      <c r="H65" s="19">
        <f t="shared" si="16"/>
        <v>9.5966271464220725</v>
      </c>
      <c r="I65" s="19">
        <f t="shared" si="16"/>
        <v>11.196065004159085</v>
      </c>
      <c r="J65" s="19">
        <f t="shared" si="16"/>
        <v>12.795502861896095</v>
      </c>
      <c r="K65" s="19">
        <f t="shared" si="16"/>
        <v>14.394940719633109</v>
      </c>
      <c r="L65" s="19">
        <f t="shared" si="16"/>
        <v>15.994378577370119</v>
      </c>
      <c r="M65" s="19">
        <f t="shared" si="16"/>
        <v>17.593816435107133</v>
      </c>
      <c r="N65" s="19">
        <f t="shared" si="16"/>
        <v>19.193254292844145</v>
      </c>
      <c r="O65" s="19">
        <f t="shared" si="16"/>
        <v>20.792692150581153</v>
      </c>
      <c r="P65" s="173">
        <f t="shared" si="16"/>
        <v>22.392130008318169</v>
      </c>
      <c r="R65" s="67">
        <v>90</v>
      </c>
      <c r="S65" s="2">
        <v>118</v>
      </c>
      <c r="T65" s="2">
        <v>96</v>
      </c>
      <c r="U65" s="15">
        <v>185</v>
      </c>
      <c r="V65" s="2">
        <v>252</v>
      </c>
      <c r="W65" s="3">
        <v>207</v>
      </c>
      <c r="Y65" s="69">
        <v>32</v>
      </c>
      <c r="Z65" s="13">
        <v>25</v>
      </c>
    </row>
    <row r="66" spans="2:26" ht="13.8" thickTop="1">
      <c r="B66" s="67">
        <v>14</v>
      </c>
      <c r="C66" s="19">
        <f t="shared" si="15"/>
        <v>2.1770126396975993</v>
      </c>
      <c r="D66" s="19">
        <f t="shared" si="15"/>
        <v>4.3540252793951986</v>
      </c>
      <c r="E66" s="19">
        <f t="shared" si="16"/>
        <v>6.531037919092797</v>
      </c>
      <c r="F66" s="19">
        <f t="shared" si="16"/>
        <v>8.7080505587903971</v>
      </c>
      <c r="G66" s="19">
        <f t="shared" si="16"/>
        <v>10.885063198487996</v>
      </c>
      <c r="H66" s="19">
        <f t="shared" si="16"/>
        <v>13.062075838185594</v>
      </c>
      <c r="I66" s="19">
        <f t="shared" si="16"/>
        <v>15.239088477883193</v>
      </c>
      <c r="J66" s="19">
        <f t="shared" si="16"/>
        <v>17.416101117580794</v>
      </c>
      <c r="K66" s="19">
        <f t="shared" si="16"/>
        <v>19.593113757278392</v>
      </c>
      <c r="L66" s="19">
        <f t="shared" si="16"/>
        <v>21.770126396975993</v>
      </c>
      <c r="M66" s="19">
        <f t="shared" si="16"/>
        <v>23.947139036673594</v>
      </c>
      <c r="N66" s="19">
        <f t="shared" si="16"/>
        <v>26.124151676371188</v>
      </c>
      <c r="O66" s="19">
        <f t="shared" si="16"/>
        <v>28.301164316068785</v>
      </c>
      <c r="P66" s="173">
        <f t="shared" si="16"/>
        <v>30.478176955766386</v>
      </c>
      <c r="R66" s="67">
        <v>95</v>
      </c>
      <c r="S66" s="2">
        <v>125</v>
      </c>
      <c r="T66" s="2">
        <v>102</v>
      </c>
      <c r="U66" s="15">
        <v>190</v>
      </c>
      <c r="V66" s="2">
        <v>259</v>
      </c>
      <c r="W66" s="3">
        <v>213</v>
      </c>
    </row>
    <row r="67" spans="2:26">
      <c r="B67" s="67">
        <v>16</v>
      </c>
      <c r="C67" s="19">
        <f t="shared" si="15"/>
        <v>2.8434450804213549</v>
      </c>
      <c r="D67" s="19">
        <f t="shared" si="15"/>
        <v>5.6868901608427098</v>
      </c>
      <c r="E67" s="19">
        <f t="shared" si="16"/>
        <v>8.5303352412640638</v>
      </c>
      <c r="F67" s="19">
        <f t="shared" si="16"/>
        <v>11.37378032168542</v>
      </c>
      <c r="G67" s="19">
        <f t="shared" si="16"/>
        <v>14.217225402106772</v>
      </c>
      <c r="H67" s="19">
        <f t="shared" si="16"/>
        <v>17.060670482528128</v>
      </c>
      <c r="I67" s="19">
        <f t="shared" si="16"/>
        <v>19.904115562949485</v>
      </c>
      <c r="J67" s="19">
        <f t="shared" si="16"/>
        <v>22.747560643370839</v>
      </c>
      <c r="K67" s="19">
        <f t="shared" si="16"/>
        <v>25.59100572379219</v>
      </c>
      <c r="L67" s="19">
        <f t="shared" si="16"/>
        <v>28.434450804213544</v>
      </c>
      <c r="M67" s="19">
        <f t="shared" si="16"/>
        <v>31.277895884634905</v>
      </c>
      <c r="N67" s="19">
        <f t="shared" si="16"/>
        <v>34.121340965056255</v>
      </c>
      <c r="O67" s="19">
        <f t="shared" si="16"/>
        <v>36.964786045477609</v>
      </c>
      <c r="P67" s="173">
        <f t="shared" si="16"/>
        <v>39.808231125898971</v>
      </c>
      <c r="R67" s="67">
        <v>100</v>
      </c>
      <c r="S67" s="2">
        <v>132</v>
      </c>
      <c r="T67" s="2">
        <v>108</v>
      </c>
      <c r="U67" s="15">
        <v>195</v>
      </c>
      <c r="V67" s="2">
        <v>266</v>
      </c>
      <c r="W67" s="3">
        <v>219</v>
      </c>
    </row>
    <row r="68" spans="2:26">
      <c r="B68" s="67">
        <v>18</v>
      </c>
      <c r="C68" s="19">
        <f t="shared" si="15"/>
        <v>3.5987351799082772</v>
      </c>
      <c r="D68" s="19">
        <f t="shared" si="15"/>
        <v>7.1974703598165544</v>
      </c>
      <c r="E68" s="19">
        <f t="shared" si="16"/>
        <v>10.796205539724832</v>
      </c>
      <c r="F68" s="19">
        <f t="shared" si="16"/>
        <v>14.394940719633109</v>
      </c>
      <c r="G68" s="19">
        <f t="shared" si="16"/>
        <v>17.993675899541387</v>
      </c>
      <c r="H68" s="19">
        <f t="shared" si="16"/>
        <v>21.592411079449665</v>
      </c>
      <c r="I68" s="19">
        <f t="shared" si="16"/>
        <v>25.191146259357939</v>
      </c>
      <c r="J68" s="19">
        <f t="shared" si="16"/>
        <v>28.789881439266217</v>
      </c>
      <c r="K68" s="19">
        <f t="shared" si="16"/>
        <v>32.388616619174499</v>
      </c>
      <c r="L68" s="19">
        <f t="shared" si="16"/>
        <v>35.987351799082774</v>
      </c>
      <c r="M68" s="19">
        <f t="shared" si="16"/>
        <v>39.586086978991048</v>
      </c>
      <c r="N68" s="19">
        <f t="shared" si="16"/>
        <v>43.18482215889933</v>
      </c>
      <c r="O68" s="19">
        <f t="shared" si="16"/>
        <v>46.783557338807604</v>
      </c>
      <c r="P68" s="173">
        <f t="shared" si="16"/>
        <v>50.382292518715879</v>
      </c>
      <c r="R68" s="70">
        <v>105</v>
      </c>
      <c r="S68" s="2">
        <v>139</v>
      </c>
      <c r="T68" s="2">
        <v>114</v>
      </c>
      <c r="U68" s="15">
        <v>200</v>
      </c>
      <c r="V68" s="2">
        <v>273</v>
      </c>
      <c r="W68" s="3">
        <v>224</v>
      </c>
    </row>
    <row r="69" spans="2:26" ht="13.8" thickBot="1">
      <c r="B69" s="67">
        <v>20</v>
      </c>
      <c r="C69" s="19">
        <f t="shared" si="15"/>
        <v>4.4428829381583661</v>
      </c>
      <c r="D69" s="19">
        <f t="shared" si="15"/>
        <v>8.8857658763167322</v>
      </c>
      <c r="E69" s="19">
        <f t="shared" si="16"/>
        <v>13.328648814475098</v>
      </c>
      <c r="F69" s="19">
        <f t="shared" si="16"/>
        <v>17.771531752633464</v>
      </c>
      <c r="G69" s="19">
        <f t="shared" si="16"/>
        <v>22.214414690791831</v>
      </c>
      <c r="H69" s="19">
        <f t="shared" si="16"/>
        <v>26.657297628950197</v>
      </c>
      <c r="I69" s="19">
        <f t="shared" si="16"/>
        <v>31.100180567108566</v>
      </c>
      <c r="J69" s="19">
        <f t="shared" si="16"/>
        <v>35.543063505266929</v>
      </c>
      <c r="K69" s="19">
        <f t="shared" si="16"/>
        <v>39.985946443425298</v>
      </c>
      <c r="L69" s="19">
        <f t="shared" si="16"/>
        <v>44.428829381583661</v>
      </c>
      <c r="M69" s="19">
        <f t="shared" si="16"/>
        <v>48.871712319742024</v>
      </c>
      <c r="N69" s="19">
        <f t="shared" si="16"/>
        <v>53.314595257900393</v>
      </c>
      <c r="O69" s="19">
        <f t="shared" si="16"/>
        <v>57.75747819605877</v>
      </c>
      <c r="P69" s="173">
        <f t="shared" si="16"/>
        <v>62.200361134217133</v>
      </c>
      <c r="R69" s="71">
        <v>110</v>
      </c>
      <c r="S69" s="12">
        <v>146</v>
      </c>
      <c r="T69" s="12">
        <v>120</v>
      </c>
      <c r="U69" s="184"/>
      <c r="V69" s="12"/>
      <c r="W69" s="13"/>
    </row>
    <row r="70" spans="2:26" ht="13.8" thickTop="1">
      <c r="B70" s="67">
        <v>22</v>
      </c>
      <c r="C70" s="19">
        <f t="shared" si="15"/>
        <v>5.3758883551716243</v>
      </c>
      <c r="D70" s="19">
        <f t="shared" si="15"/>
        <v>10.751776710343249</v>
      </c>
      <c r="E70" s="19">
        <f t="shared" si="16"/>
        <v>16.127665065514872</v>
      </c>
      <c r="F70" s="19">
        <f t="shared" si="16"/>
        <v>21.503553420686497</v>
      </c>
      <c r="G70" s="19">
        <f t="shared" si="16"/>
        <v>26.879441775858123</v>
      </c>
      <c r="H70" s="19">
        <f t="shared" si="16"/>
        <v>32.255330131029744</v>
      </c>
      <c r="I70" s="19">
        <f t="shared" si="16"/>
        <v>37.631218486201369</v>
      </c>
      <c r="J70" s="19">
        <f t="shared" si="16"/>
        <v>43.007106841372995</v>
      </c>
      <c r="K70" s="19">
        <f t="shared" si="16"/>
        <v>48.38299519654462</v>
      </c>
      <c r="L70" s="19">
        <f t="shared" si="16"/>
        <v>53.758883551716245</v>
      </c>
      <c r="M70" s="19">
        <f t="shared" si="16"/>
        <v>59.13477190688787</v>
      </c>
      <c r="N70" s="19">
        <f t="shared" si="16"/>
        <v>64.510660262059488</v>
      </c>
      <c r="O70" s="19">
        <f t="shared" si="16"/>
        <v>69.886548617231114</v>
      </c>
      <c r="P70" s="173">
        <f t="shared" si="16"/>
        <v>75.262436972402739</v>
      </c>
    </row>
    <row r="71" spans="2:26">
      <c r="B71" s="67">
        <v>24</v>
      </c>
      <c r="C71" s="19">
        <f t="shared" si="15"/>
        <v>6.3977514309480474</v>
      </c>
      <c r="D71" s="19">
        <f t="shared" si="15"/>
        <v>12.795502861896095</v>
      </c>
      <c r="E71" s="19">
        <f t="shared" si="16"/>
        <v>19.193254292844145</v>
      </c>
      <c r="F71" s="19">
        <f t="shared" si="16"/>
        <v>25.59100572379219</v>
      </c>
      <c r="G71" s="19">
        <f t="shared" si="16"/>
        <v>31.988757154740238</v>
      </c>
      <c r="H71" s="19">
        <f t="shared" si="16"/>
        <v>38.38650858568829</v>
      </c>
      <c r="I71" s="19">
        <f t="shared" si="16"/>
        <v>44.784260016636338</v>
      </c>
      <c r="J71" s="19">
        <f t="shared" si="16"/>
        <v>51.182011447584379</v>
      </c>
      <c r="K71" s="19">
        <f t="shared" si="16"/>
        <v>57.579762878532435</v>
      </c>
      <c r="L71" s="19">
        <f t="shared" si="16"/>
        <v>63.977514309480476</v>
      </c>
      <c r="M71" s="19">
        <f t="shared" si="16"/>
        <v>70.375265740428532</v>
      </c>
      <c r="N71" s="19">
        <f t="shared" si="16"/>
        <v>76.77301717137658</v>
      </c>
      <c r="O71" s="19">
        <f t="shared" si="16"/>
        <v>83.170768602324614</v>
      </c>
      <c r="P71" s="173">
        <f t="shared" si="16"/>
        <v>89.568520033272677</v>
      </c>
    </row>
    <row r="72" spans="2:26">
      <c r="B72" s="67">
        <v>26</v>
      </c>
      <c r="C72" s="19">
        <f t="shared" si="15"/>
        <v>7.5084721654876398</v>
      </c>
      <c r="D72" s="19">
        <f t="shared" si="15"/>
        <v>15.01694433097528</v>
      </c>
      <c r="E72" s="19">
        <f t="shared" si="16"/>
        <v>22.525416496462917</v>
      </c>
      <c r="F72" s="19">
        <f t="shared" si="16"/>
        <v>30.033888661950559</v>
      </c>
      <c r="G72" s="19">
        <f t="shared" si="16"/>
        <v>37.542360827438195</v>
      </c>
      <c r="H72" s="19">
        <f t="shared" si="16"/>
        <v>45.050832992925834</v>
      </c>
      <c r="I72" s="19">
        <f t="shared" si="16"/>
        <v>52.559305158413473</v>
      </c>
      <c r="J72" s="19">
        <f t="shared" si="16"/>
        <v>60.067777323901119</v>
      </c>
      <c r="K72" s="19">
        <f t="shared" si="16"/>
        <v>67.576249489388758</v>
      </c>
      <c r="L72" s="19">
        <f t="shared" si="16"/>
        <v>75.08472165487639</v>
      </c>
      <c r="M72" s="19">
        <f t="shared" si="16"/>
        <v>82.593193820364036</v>
      </c>
      <c r="N72" s="19">
        <f t="shared" si="16"/>
        <v>90.101665985851668</v>
      </c>
      <c r="O72" s="19">
        <f t="shared" si="16"/>
        <v>97.610138151339314</v>
      </c>
      <c r="P72" s="173">
        <f t="shared" si="16"/>
        <v>105.11861031682695</v>
      </c>
    </row>
    <row r="73" spans="2:26">
      <c r="B73" s="67">
        <v>28</v>
      </c>
      <c r="C73" s="19">
        <f t="shared" si="15"/>
        <v>8.7080505587903971</v>
      </c>
      <c r="D73" s="19">
        <f t="shared" si="15"/>
        <v>17.416101117580794</v>
      </c>
      <c r="E73" s="19">
        <f t="shared" si="16"/>
        <v>26.124151676371188</v>
      </c>
      <c r="F73" s="19">
        <f t="shared" si="16"/>
        <v>34.832202235161589</v>
      </c>
      <c r="G73" s="19">
        <f t="shared" si="16"/>
        <v>43.540252793951986</v>
      </c>
      <c r="H73" s="19">
        <f t="shared" si="16"/>
        <v>52.248303352742376</v>
      </c>
      <c r="I73" s="19">
        <f t="shared" si="16"/>
        <v>60.956353911532773</v>
      </c>
      <c r="J73" s="19">
        <f t="shared" si="16"/>
        <v>69.664404470323177</v>
      </c>
      <c r="K73" s="19">
        <f t="shared" si="16"/>
        <v>78.372455029113567</v>
      </c>
      <c r="L73" s="19">
        <f t="shared" si="16"/>
        <v>87.080505587903971</v>
      </c>
      <c r="M73" s="19">
        <f t="shared" si="16"/>
        <v>95.788556146694376</v>
      </c>
      <c r="N73" s="19">
        <f t="shared" si="16"/>
        <v>104.49660670548475</v>
      </c>
      <c r="O73" s="19">
        <f t="shared" si="16"/>
        <v>113.20465726427514</v>
      </c>
      <c r="P73" s="173">
        <f t="shared" si="16"/>
        <v>121.91270782306555</v>
      </c>
    </row>
    <row r="74" spans="2:26">
      <c r="B74" s="67">
        <v>30</v>
      </c>
      <c r="C74" s="19">
        <f t="shared" si="15"/>
        <v>9.9964866108563246</v>
      </c>
      <c r="D74" s="19">
        <f t="shared" si="15"/>
        <v>19.992973221712649</v>
      </c>
      <c r="E74" s="19">
        <f t="shared" si="16"/>
        <v>29.989459832568972</v>
      </c>
      <c r="F74" s="19">
        <f t="shared" si="16"/>
        <v>39.985946443425298</v>
      </c>
      <c r="G74" s="19">
        <f t="shared" si="16"/>
        <v>49.982433054281621</v>
      </c>
      <c r="H74" s="19">
        <f t="shared" si="16"/>
        <v>59.978919665137944</v>
      </c>
      <c r="I74" s="19">
        <f t="shared" si="16"/>
        <v>69.975406275994274</v>
      </c>
      <c r="J74" s="19">
        <f t="shared" si="16"/>
        <v>79.971892886850597</v>
      </c>
      <c r="K74" s="19">
        <f t="shared" si="16"/>
        <v>89.96837949770692</v>
      </c>
      <c r="L74" s="19">
        <f t="shared" si="16"/>
        <v>99.964866108563243</v>
      </c>
      <c r="M74" s="19">
        <f t="shared" si="16"/>
        <v>109.96135271941958</v>
      </c>
      <c r="N74" s="19">
        <f t="shared" si="16"/>
        <v>119.95783933027589</v>
      </c>
      <c r="O74" s="19">
        <f t="shared" si="16"/>
        <v>129.95432594113223</v>
      </c>
      <c r="P74" s="173">
        <f t="shared" si="16"/>
        <v>139.95081255198855</v>
      </c>
    </row>
    <row r="75" spans="2:26">
      <c r="B75" s="67">
        <v>32</v>
      </c>
      <c r="C75" s="19">
        <f t="shared" si="15"/>
        <v>11.37378032168542</v>
      </c>
      <c r="D75" s="19">
        <f t="shared" si="15"/>
        <v>22.747560643370839</v>
      </c>
      <c r="E75" s="19">
        <f t="shared" si="16"/>
        <v>34.121340965056255</v>
      </c>
      <c r="F75" s="19">
        <f t="shared" si="16"/>
        <v>45.495121286741679</v>
      </c>
      <c r="G75" s="19">
        <f t="shared" si="16"/>
        <v>56.868901608427088</v>
      </c>
      <c r="H75" s="19">
        <f t="shared" si="16"/>
        <v>68.242681930112511</v>
      </c>
      <c r="I75" s="19">
        <f t="shared" si="16"/>
        <v>79.616462251797941</v>
      </c>
      <c r="J75" s="19">
        <f t="shared" si="16"/>
        <v>90.990242573483357</v>
      </c>
      <c r="K75" s="19">
        <f t="shared" si="16"/>
        <v>102.36402289516876</v>
      </c>
      <c r="L75" s="19">
        <f t="shared" si="16"/>
        <v>113.73780321685418</v>
      </c>
      <c r="M75" s="19">
        <f t="shared" si="16"/>
        <v>125.11158353853962</v>
      </c>
      <c r="N75" s="19">
        <f t="shared" si="16"/>
        <v>136.48536386022502</v>
      </c>
      <c r="O75" s="19">
        <f t="shared" si="16"/>
        <v>147.85914418191044</v>
      </c>
      <c r="P75" s="173">
        <f t="shared" si="16"/>
        <v>159.23292450359588</v>
      </c>
    </row>
    <row r="76" spans="2:26">
      <c r="B76" s="67">
        <v>34</v>
      </c>
      <c r="C76" s="19">
        <f t="shared" si="15"/>
        <v>12.839931691277677</v>
      </c>
      <c r="D76" s="19">
        <f t="shared" si="15"/>
        <v>25.679863382555354</v>
      </c>
      <c r="E76" s="19">
        <f t="shared" si="16"/>
        <v>38.519795073833031</v>
      </c>
      <c r="F76" s="19">
        <f t="shared" si="16"/>
        <v>51.359726765110707</v>
      </c>
      <c r="G76" s="19">
        <f t="shared" si="16"/>
        <v>64.199658456388391</v>
      </c>
      <c r="H76" s="19">
        <f t="shared" si="16"/>
        <v>77.039590147666061</v>
      </c>
      <c r="I76" s="19">
        <f t="shared" si="16"/>
        <v>89.879521838943731</v>
      </c>
      <c r="J76" s="19">
        <f t="shared" si="16"/>
        <v>102.71945353022141</v>
      </c>
      <c r="K76" s="19">
        <f t="shared" si="16"/>
        <v>115.55938522149908</v>
      </c>
      <c r="L76" s="19">
        <f t="shared" si="16"/>
        <v>128.39931691277678</v>
      </c>
      <c r="M76" s="19">
        <f t="shared" si="16"/>
        <v>141.23924860405444</v>
      </c>
      <c r="N76" s="19">
        <f t="shared" si="16"/>
        <v>154.07918029533212</v>
      </c>
      <c r="O76" s="19">
        <f t="shared" si="16"/>
        <v>166.91911198660981</v>
      </c>
      <c r="P76" s="173">
        <f t="shared" si="16"/>
        <v>179.75904367788746</v>
      </c>
    </row>
    <row r="77" spans="2:26">
      <c r="B77" s="67">
        <v>36</v>
      </c>
      <c r="C77" s="19">
        <f t="shared" si="15"/>
        <v>14.394940719633109</v>
      </c>
      <c r="D77" s="19">
        <f t="shared" si="15"/>
        <v>28.789881439266217</v>
      </c>
      <c r="E77" s="19">
        <f t="shared" si="16"/>
        <v>43.18482215889933</v>
      </c>
      <c r="F77" s="19">
        <f t="shared" si="16"/>
        <v>57.579762878532435</v>
      </c>
      <c r="G77" s="19">
        <f t="shared" si="16"/>
        <v>71.974703598165547</v>
      </c>
      <c r="H77" s="19">
        <f t="shared" si="16"/>
        <v>86.369644317798659</v>
      </c>
      <c r="I77" s="19">
        <f t="shared" si="16"/>
        <v>100.76458503743176</v>
      </c>
      <c r="J77" s="19">
        <f t="shared" si="16"/>
        <v>115.15952575706487</v>
      </c>
      <c r="K77" s="19">
        <f t="shared" si="16"/>
        <v>129.554466476698</v>
      </c>
      <c r="L77" s="19">
        <f t="shared" si="16"/>
        <v>143.94940719633109</v>
      </c>
      <c r="M77" s="19">
        <f t="shared" si="16"/>
        <v>158.34434791596419</v>
      </c>
      <c r="N77" s="19">
        <f t="shared" si="16"/>
        <v>172.73928863559732</v>
      </c>
      <c r="O77" s="19">
        <f t="shared" si="16"/>
        <v>187.13422935523042</v>
      </c>
      <c r="P77" s="173">
        <f t="shared" si="16"/>
        <v>201.52917007486352</v>
      </c>
    </row>
    <row r="78" spans="2:26">
      <c r="B78" s="67">
        <v>38</v>
      </c>
      <c r="C78" s="19">
        <f t="shared" si="15"/>
        <v>16.038807406751701</v>
      </c>
      <c r="D78" s="19">
        <f t="shared" si="15"/>
        <v>32.077614813503402</v>
      </c>
      <c r="E78" s="19">
        <f t="shared" si="16"/>
        <v>48.116422220255103</v>
      </c>
      <c r="F78" s="19">
        <f t="shared" si="16"/>
        <v>64.155229627006804</v>
      </c>
      <c r="G78" s="19">
        <f t="shared" si="16"/>
        <v>80.194037033758519</v>
      </c>
      <c r="H78" s="19">
        <f t="shared" si="16"/>
        <v>96.232844440510206</v>
      </c>
      <c r="I78" s="19">
        <f t="shared" si="16"/>
        <v>112.27165184726192</v>
      </c>
      <c r="J78" s="19">
        <f t="shared" si="16"/>
        <v>128.31045925401361</v>
      </c>
      <c r="K78" s="19">
        <f t="shared" si="16"/>
        <v>144.34926666076532</v>
      </c>
      <c r="L78" s="19">
        <f t="shared" si="16"/>
        <v>160.38807406751704</v>
      </c>
      <c r="M78" s="19">
        <f t="shared" si="16"/>
        <v>176.42688147426873</v>
      </c>
      <c r="N78" s="19">
        <f t="shared" si="16"/>
        <v>192.46568888102041</v>
      </c>
      <c r="O78" s="19">
        <f t="shared" si="16"/>
        <v>208.5044962877721</v>
      </c>
      <c r="P78" s="173">
        <f t="shared" si="16"/>
        <v>224.54330369452384</v>
      </c>
    </row>
    <row r="79" spans="2:26">
      <c r="B79" s="67">
        <v>40</v>
      </c>
      <c r="C79" s="19">
        <f t="shared" si="15"/>
        <v>17.771531752633464</v>
      </c>
      <c r="D79" s="19">
        <f t="shared" si="15"/>
        <v>35.543063505266929</v>
      </c>
      <c r="E79" s="19">
        <f t="shared" ref="E79:P84" si="17">((PI()*($B79/10)^2)/4)*E$50*(2^0.5)</f>
        <v>53.314595257900393</v>
      </c>
      <c r="F79" s="19">
        <f t="shared" si="17"/>
        <v>71.086127010533858</v>
      </c>
      <c r="G79" s="19">
        <f t="shared" si="17"/>
        <v>88.857658763167322</v>
      </c>
      <c r="H79" s="19">
        <f t="shared" si="17"/>
        <v>106.62919051580079</v>
      </c>
      <c r="I79" s="19">
        <f t="shared" si="17"/>
        <v>124.40072226843427</v>
      </c>
      <c r="J79" s="19">
        <f t="shared" si="17"/>
        <v>142.17225402106772</v>
      </c>
      <c r="K79" s="19">
        <f t="shared" si="17"/>
        <v>159.94378577370119</v>
      </c>
      <c r="L79" s="19">
        <f t="shared" si="17"/>
        <v>177.71531752633464</v>
      </c>
      <c r="M79" s="19">
        <f t="shared" si="17"/>
        <v>195.48684927896809</v>
      </c>
      <c r="N79" s="19">
        <f t="shared" si="17"/>
        <v>213.25838103160157</v>
      </c>
      <c r="O79" s="19">
        <f t="shared" si="17"/>
        <v>231.02991278423508</v>
      </c>
      <c r="P79" s="173">
        <f t="shared" si="17"/>
        <v>248.80144453686853</v>
      </c>
    </row>
    <row r="80" spans="2:26">
      <c r="B80" s="67">
        <v>42</v>
      </c>
      <c r="C80" s="19">
        <f t="shared" si="15"/>
        <v>19.593113757278395</v>
      </c>
      <c r="D80" s="19">
        <f t="shared" si="15"/>
        <v>39.186227514556791</v>
      </c>
      <c r="E80" s="19">
        <f t="shared" si="17"/>
        <v>58.779341271835186</v>
      </c>
      <c r="F80" s="19">
        <f t="shared" si="17"/>
        <v>78.372455029113581</v>
      </c>
      <c r="G80" s="19">
        <f t="shared" si="17"/>
        <v>97.965568786391984</v>
      </c>
      <c r="H80" s="19">
        <f t="shared" si="17"/>
        <v>117.55868254367037</v>
      </c>
      <c r="I80" s="19">
        <f t="shared" si="17"/>
        <v>137.15179630094877</v>
      </c>
      <c r="J80" s="19">
        <f t="shared" si="17"/>
        <v>156.74491005822716</v>
      </c>
      <c r="K80" s="19">
        <f t="shared" si="17"/>
        <v>176.33802381550555</v>
      </c>
      <c r="L80" s="19">
        <f t="shared" si="17"/>
        <v>195.93113757278397</v>
      </c>
      <c r="M80" s="19">
        <f t="shared" si="17"/>
        <v>215.52425133006236</v>
      </c>
      <c r="N80" s="19">
        <f t="shared" si="17"/>
        <v>235.11736508734074</v>
      </c>
      <c r="O80" s="19">
        <f t="shared" si="17"/>
        <v>254.71047884461913</v>
      </c>
      <c r="P80" s="173">
        <f t="shared" si="17"/>
        <v>274.30359260189755</v>
      </c>
    </row>
    <row r="81" spans="2:16">
      <c r="B81" s="67">
        <v>44</v>
      </c>
      <c r="C81" s="19">
        <f t="shared" si="15"/>
        <v>21.503553420686497</v>
      </c>
      <c r="D81" s="19">
        <f t="shared" si="15"/>
        <v>43.007106841372995</v>
      </c>
      <c r="E81" s="19">
        <f t="shared" si="17"/>
        <v>64.510660262059488</v>
      </c>
      <c r="F81" s="19">
        <f t="shared" si="17"/>
        <v>86.014213682745989</v>
      </c>
      <c r="G81" s="19">
        <f t="shared" si="17"/>
        <v>107.51776710343249</v>
      </c>
      <c r="H81" s="19">
        <f t="shared" si="17"/>
        <v>129.02132052411898</v>
      </c>
      <c r="I81" s="19">
        <f t="shared" si="17"/>
        <v>150.52487394480548</v>
      </c>
      <c r="J81" s="19">
        <f t="shared" si="17"/>
        <v>172.02842736549198</v>
      </c>
      <c r="K81" s="19">
        <f t="shared" si="17"/>
        <v>193.53198078617848</v>
      </c>
      <c r="L81" s="19">
        <f t="shared" si="17"/>
        <v>215.03553420686498</v>
      </c>
      <c r="M81" s="19">
        <f t="shared" si="17"/>
        <v>236.53908762755148</v>
      </c>
      <c r="N81" s="19">
        <f t="shared" si="17"/>
        <v>258.04264104823795</v>
      </c>
      <c r="O81" s="19">
        <f t="shared" si="17"/>
        <v>279.54619446892445</v>
      </c>
      <c r="P81" s="173">
        <f t="shared" si="17"/>
        <v>301.04974788961096</v>
      </c>
    </row>
    <row r="82" spans="2:16">
      <c r="B82" s="67">
        <v>46</v>
      </c>
      <c r="C82" s="19">
        <f t="shared" si="15"/>
        <v>23.502850742857753</v>
      </c>
      <c r="D82" s="19">
        <f t="shared" si="15"/>
        <v>47.005701485715505</v>
      </c>
      <c r="E82" s="19">
        <f t="shared" si="17"/>
        <v>70.508552228573265</v>
      </c>
      <c r="F82" s="19">
        <f t="shared" si="17"/>
        <v>94.011402971431011</v>
      </c>
      <c r="G82" s="19">
        <f t="shared" si="17"/>
        <v>117.51425371428876</v>
      </c>
      <c r="H82" s="19">
        <f t="shared" si="17"/>
        <v>141.01710445714653</v>
      </c>
      <c r="I82" s="19">
        <f t="shared" si="17"/>
        <v>164.51995520000429</v>
      </c>
      <c r="J82" s="19">
        <f t="shared" si="17"/>
        <v>188.02280594286202</v>
      </c>
      <c r="K82" s="19">
        <f t="shared" si="17"/>
        <v>211.52565668571981</v>
      </c>
      <c r="L82" s="19">
        <f t="shared" si="17"/>
        <v>235.02850742857751</v>
      </c>
      <c r="M82" s="19">
        <f t="shared" si="17"/>
        <v>258.53135817143527</v>
      </c>
      <c r="N82" s="19">
        <f t="shared" si="17"/>
        <v>282.03420891429306</v>
      </c>
      <c r="O82" s="19">
        <f t="shared" si="17"/>
        <v>305.53705965715079</v>
      </c>
      <c r="P82" s="173">
        <f t="shared" si="17"/>
        <v>329.03991040000858</v>
      </c>
    </row>
    <row r="83" spans="2:16">
      <c r="B83" s="67">
        <v>48</v>
      </c>
      <c r="C83" s="19">
        <f t="shared" si="15"/>
        <v>25.59100572379219</v>
      </c>
      <c r="D83" s="19">
        <f t="shared" si="15"/>
        <v>51.182011447584379</v>
      </c>
      <c r="E83" s="19">
        <f t="shared" si="17"/>
        <v>76.77301717137658</v>
      </c>
      <c r="F83" s="19">
        <f t="shared" si="17"/>
        <v>102.36402289516876</v>
      </c>
      <c r="G83" s="19">
        <f t="shared" si="17"/>
        <v>127.95502861896095</v>
      </c>
      <c r="H83" s="19">
        <f t="shared" si="17"/>
        <v>153.54603434275316</v>
      </c>
      <c r="I83" s="19">
        <f t="shared" si="17"/>
        <v>179.13704006654535</v>
      </c>
      <c r="J83" s="19">
        <f t="shared" si="17"/>
        <v>204.72804579033752</v>
      </c>
      <c r="K83" s="19">
        <f t="shared" si="17"/>
        <v>230.31905151412974</v>
      </c>
      <c r="L83" s="19">
        <f t="shared" si="17"/>
        <v>255.9100572379219</v>
      </c>
      <c r="M83" s="19">
        <f t="shared" si="17"/>
        <v>281.50106296171413</v>
      </c>
      <c r="N83" s="19">
        <f t="shared" si="17"/>
        <v>307.09206868550632</v>
      </c>
      <c r="O83" s="19">
        <f t="shared" si="17"/>
        <v>332.68307440929846</v>
      </c>
      <c r="P83" s="173">
        <f t="shared" si="17"/>
        <v>358.27408013309071</v>
      </c>
    </row>
    <row r="84" spans="2:16" ht="13.8" thickBot="1">
      <c r="B84" s="69">
        <v>50</v>
      </c>
      <c r="C84" s="20">
        <f t="shared" si="15"/>
        <v>27.768018363489791</v>
      </c>
      <c r="D84" s="20">
        <f t="shared" si="15"/>
        <v>55.536036726979582</v>
      </c>
      <c r="E84" s="20">
        <f t="shared" si="17"/>
        <v>83.304055090469362</v>
      </c>
      <c r="F84" s="20">
        <f t="shared" si="17"/>
        <v>111.07207345395916</v>
      </c>
      <c r="G84" s="20">
        <f t="shared" si="17"/>
        <v>138.84009181744895</v>
      </c>
      <c r="H84" s="20">
        <f t="shared" si="17"/>
        <v>166.60811018093872</v>
      </c>
      <c r="I84" s="20">
        <f t="shared" si="17"/>
        <v>194.37612854442855</v>
      </c>
      <c r="J84" s="20">
        <f t="shared" si="17"/>
        <v>222.14414690791833</v>
      </c>
      <c r="K84" s="20">
        <f t="shared" si="17"/>
        <v>249.9121652714081</v>
      </c>
      <c r="L84" s="20">
        <f t="shared" si="17"/>
        <v>277.6801836348979</v>
      </c>
      <c r="M84" s="20">
        <f t="shared" si="17"/>
        <v>305.44820199838767</v>
      </c>
      <c r="N84" s="20">
        <f t="shared" si="17"/>
        <v>333.21622036187745</v>
      </c>
      <c r="O84" s="20">
        <f t="shared" si="17"/>
        <v>360.98423872536728</v>
      </c>
      <c r="P84" s="174">
        <f t="shared" si="17"/>
        <v>388.75225708885711</v>
      </c>
    </row>
    <row r="85" spans="2:16" ht="13.8" thickTop="1">
      <c r="C85" t="s">
        <v>596</v>
      </c>
    </row>
  </sheetData>
  <customSheetViews>
    <customSheetView guid="{C0BE45DA-73C0-4B1E-ABFB-A0FAB57D4E46}" showGridLines="0" showRuler="0">
      <selection activeCell="B2" sqref="B2:M2"/>
      <pageMargins left="0.75" right="0.75" top="1" bottom="1" header="0.5" footer="0.5"/>
      <headerFooter alignWithMargins="0"/>
    </customSheetView>
  </customSheetViews>
  <mergeCells count="23">
    <mergeCell ref="B60:P60"/>
    <mergeCell ref="C61:P61"/>
    <mergeCell ref="Y50:Y51"/>
    <mergeCell ref="P2:P3"/>
    <mergeCell ref="Q3:Z3"/>
    <mergeCell ref="Q2:R2"/>
    <mergeCell ref="D2:M2"/>
    <mergeCell ref="Z50:Z51"/>
    <mergeCell ref="C30:D30"/>
    <mergeCell ref="E30:F30"/>
    <mergeCell ref="G30:H30"/>
    <mergeCell ref="I30:J30"/>
    <mergeCell ref="K30:L30"/>
    <mergeCell ref="AA3:AA4"/>
    <mergeCell ref="P1:AA1"/>
    <mergeCell ref="C49:P49"/>
    <mergeCell ref="B48:P48"/>
    <mergeCell ref="Y48:Z49"/>
    <mergeCell ref="B29:B30"/>
    <mergeCell ref="M30:N30"/>
    <mergeCell ref="C29:N29"/>
    <mergeCell ref="B28:N28"/>
    <mergeCell ref="B1:M1"/>
  </mergeCells>
  <phoneticPr fontId="2" type="noConversion"/>
  <pageMargins left="0.94488188976377963" right="0.35433070866141736" top="0.98425196850393704" bottom="0.39370078740157483" header="0.51181102362204722" footer="0.51181102362204722"/>
  <pageSetup paperSize="9" scale="83" orientation="portrait" horizontalDpi="4294967293" verticalDpi="0" r:id="rId1"/>
  <headerFooter alignWithMargins="0"/>
  <colBreaks count="1" manualBreakCount="1">
    <brk id="13" max="84"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N14"/>
  <sheetViews>
    <sheetView workbookViewId="0">
      <selection activeCell="I17" sqref="I17:I18"/>
    </sheetView>
  </sheetViews>
  <sheetFormatPr defaultRowHeight="13.2"/>
  <cols>
    <col min="2" max="2" width="15" customWidth="1"/>
    <col min="6" max="6" width="13.6640625" customWidth="1"/>
    <col min="7" max="10" width="12.6640625" bestFit="1" customWidth="1"/>
    <col min="13" max="13" width="12.88671875" customWidth="1"/>
    <col min="14" max="14" width="13" customWidth="1"/>
  </cols>
  <sheetData>
    <row r="2" spans="2:14">
      <c r="B2" s="598" t="s">
        <v>799</v>
      </c>
      <c r="C2" s="599"/>
      <c r="D2" s="599"/>
      <c r="E2" s="599"/>
      <c r="F2" s="599"/>
      <c r="G2" s="599"/>
      <c r="H2" s="599"/>
      <c r="I2" s="599"/>
      <c r="J2" s="599"/>
    </row>
    <row r="3" spans="2:14">
      <c r="B3" s="598" t="s">
        <v>798</v>
      </c>
      <c r="C3" s="599"/>
      <c r="D3" s="599"/>
      <c r="E3" s="599"/>
      <c r="F3" s="599"/>
      <c r="G3" s="599"/>
      <c r="H3" s="599"/>
      <c r="I3" s="599"/>
      <c r="J3" s="599"/>
    </row>
    <row r="4" spans="2:14" ht="18.600000000000001" thickBot="1">
      <c r="B4" s="593" t="s">
        <v>778</v>
      </c>
      <c r="C4" s="593"/>
      <c r="D4" s="593"/>
      <c r="E4" s="593"/>
      <c r="F4" s="593"/>
      <c r="G4" s="593"/>
      <c r="H4" s="593"/>
      <c r="I4" s="593"/>
      <c r="J4" s="593"/>
      <c r="M4" s="596" t="s">
        <v>797</v>
      </c>
      <c r="N4" s="597"/>
    </row>
    <row r="5" spans="2:14" ht="38.25" customHeight="1">
      <c r="B5" s="276" t="s">
        <v>751</v>
      </c>
      <c r="C5" s="275" t="s">
        <v>770</v>
      </c>
      <c r="D5" s="275" t="s">
        <v>771</v>
      </c>
      <c r="E5" s="275" t="s">
        <v>772</v>
      </c>
      <c r="F5" s="275" t="s">
        <v>773</v>
      </c>
      <c r="G5" s="275" t="s">
        <v>774</v>
      </c>
      <c r="H5" s="275" t="s">
        <v>775</v>
      </c>
      <c r="I5" s="275" t="s">
        <v>776</v>
      </c>
      <c r="J5" s="275" t="s">
        <v>777</v>
      </c>
      <c r="M5" s="594" t="s">
        <v>779</v>
      </c>
      <c r="N5" s="595"/>
    </row>
    <row r="6" spans="2:14" ht="15.6">
      <c r="B6" s="271" t="s">
        <v>752</v>
      </c>
      <c r="C6" s="272" t="s">
        <v>753</v>
      </c>
      <c r="D6" s="272" t="s">
        <v>754</v>
      </c>
      <c r="E6" s="272" t="s">
        <v>755</v>
      </c>
      <c r="F6" s="272" t="s">
        <v>756</v>
      </c>
      <c r="G6" s="272" t="s">
        <v>757</v>
      </c>
      <c r="H6" s="272" t="s">
        <v>758</v>
      </c>
      <c r="I6" s="272" t="s">
        <v>759</v>
      </c>
      <c r="J6" s="272" t="s">
        <v>760</v>
      </c>
      <c r="M6" s="277" t="s">
        <v>780</v>
      </c>
      <c r="N6" s="278" t="s">
        <v>781</v>
      </c>
    </row>
    <row r="7" spans="2:14" ht="15.6">
      <c r="B7" s="273" t="s">
        <v>761</v>
      </c>
      <c r="C7" s="274" t="s">
        <v>762</v>
      </c>
      <c r="D7" s="274" t="s">
        <v>763</v>
      </c>
      <c r="E7" s="274" t="s">
        <v>764</v>
      </c>
      <c r="F7" s="274" t="s">
        <v>765</v>
      </c>
      <c r="G7" s="274" t="s">
        <v>766</v>
      </c>
      <c r="H7" s="274" t="s">
        <v>767</v>
      </c>
      <c r="I7" s="274" t="s">
        <v>768</v>
      </c>
      <c r="J7" s="274" t="s">
        <v>769</v>
      </c>
      <c r="M7" s="279" t="s">
        <v>782</v>
      </c>
      <c r="N7" s="279" t="s">
        <v>783</v>
      </c>
    </row>
    <row r="8" spans="2:14" ht="13.8">
      <c r="M8" s="279" t="s">
        <v>784</v>
      </c>
      <c r="N8" s="279" t="s">
        <v>785</v>
      </c>
    </row>
    <row r="9" spans="2:14" ht="15.6">
      <c r="B9" s="281" t="s">
        <v>800</v>
      </c>
      <c r="C9" s="280">
        <f>41.2/2</f>
        <v>20.6</v>
      </c>
      <c r="D9" s="282">
        <f>55/2</f>
        <v>27.5</v>
      </c>
      <c r="E9" s="282">
        <f>68.7/2</f>
        <v>34.35</v>
      </c>
      <c r="F9" s="280">
        <f>82.5/2</f>
        <v>41.25</v>
      </c>
      <c r="G9" s="280">
        <f>96.2/2</f>
        <v>48.1</v>
      </c>
      <c r="H9" s="280">
        <f>110/2</f>
        <v>55</v>
      </c>
      <c r="I9" s="280">
        <f>123.7/2</f>
        <v>61.85</v>
      </c>
      <c r="J9" s="280">
        <f>137.5/2</f>
        <v>68.75</v>
      </c>
      <c r="M9" s="279" t="s">
        <v>786</v>
      </c>
      <c r="N9" s="279" t="s">
        <v>787</v>
      </c>
    </row>
    <row r="10" spans="2:14" ht="13.8">
      <c r="M10" s="279" t="s">
        <v>788</v>
      </c>
      <c r="N10" s="279" t="s">
        <v>789</v>
      </c>
    </row>
    <row r="11" spans="2:14" ht="13.8">
      <c r="M11" s="279" t="s">
        <v>790</v>
      </c>
      <c r="N11" s="279" t="s">
        <v>791</v>
      </c>
    </row>
    <row r="12" spans="2:14" ht="13.8">
      <c r="M12" s="279" t="s">
        <v>792</v>
      </c>
      <c r="N12" s="279" t="s">
        <v>793</v>
      </c>
    </row>
    <row r="13" spans="2:14" ht="13.8">
      <c r="M13" s="279" t="s">
        <v>794</v>
      </c>
      <c r="N13" s="279" t="s">
        <v>789</v>
      </c>
    </row>
    <row r="14" spans="2:14" ht="13.8">
      <c r="M14" s="279" t="s">
        <v>795</v>
      </c>
      <c r="N14" s="279" t="s">
        <v>796</v>
      </c>
    </row>
  </sheetData>
  <mergeCells count="5">
    <mergeCell ref="B4:J4"/>
    <mergeCell ref="M5:N5"/>
    <mergeCell ref="M4:N4"/>
    <mergeCell ref="B3:J3"/>
    <mergeCell ref="B2:J2"/>
  </mergeCells>
  <hyperlinks>
    <hyperlink ref="M4" r:id="rId1"/>
    <hyperlink ref="B3" r:id="rId2"/>
    <hyperlink ref="B2" r:id="rId3"/>
  </hyperlinks>
  <pageMargins left="0.94488188976377963" right="0.35433070866141736" top="0.98425196850393704" bottom="0.39370078740157483" header="0.51181102362204722" footer="0.51181102362204722"/>
  <pageSetup paperSize="9" scale="74" orientation="portrait" horizontalDpi="4294967293"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B1:I28"/>
  <sheetViews>
    <sheetView showGridLines="0" workbookViewId="0">
      <selection activeCell="B1" sqref="B1:F1"/>
    </sheetView>
  </sheetViews>
  <sheetFormatPr defaultRowHeight="13.2"/>
  <cols>
    <col min="1" max="1" width="2.6640625" customWidth="1"/>
    <col min="2" max="2" width="16.6640625" customWidth="1"/>
    <col min="3" max="6" width="12.6640625" customWidth="1"/>
    <col min="7" max="7" width="2.6640625" customWidth="1"/>
  </cols>
  <sheetData>
    <row r="1" spans="2:9" ht="20.100000000000001" customHeight="1" thickTop="1">
      <c r="B1" s="455" t="s">
        <v>15</v>
      </c>
      <c r="C1" s="456"/>
      <c r="D1" s="456"/>
      <c r="E1" s="456"/>
      <c r="F1" s="457"/>
    </row>
    <row r="2" spans="2:9" ht="15" customHeight="1">
      <c r="B2" s="67" t="s">
        <v>10</v>
      </c>
      <c r="C2" s="15" t="s">
        <v>0</v>
      </c>
      <c r="D2" s="15" t="s">
        <v>2</v>
      </c>
      <c r="E2" s="15" t="s">
        <v>4</v>
      </c>
      <c r="F2" s="16" t="s">
        <v>7</v>
      </c>
    </row>
    <row r="3" spans="2:9" ht="15" customHeight="1">
      <c r="B3" s="67" t="s">
        <v>9</v>
      </c>
      <c r="C3" s="15" t="s">
        <v>1</v>
      </c>
      <c r="D3" s="15" t="s">
        <v>6</v>
      </c>
      <c r="E3" s="15" t="s">
        <v>5</v>
      </c>
      <c r="F3" s="16" t="s">
        <v>8</v>
      </c>
    </row>
    <row r="4" spans="2:9" ht="15" customHeight="1">
      <c r="B4" s="4">
        <v>7.85</v>
      </c>
      <c r="C4" s="5" t="s">
        <v>11</v>
      </c>
      <c r="D4" s="5" t="s">
        <v>12</v>
      </c>
      <c r="E4" s="5" t="s">
        <v>14</v>
      </c>
      <c r="F4" s="6" t="s">
        <v>13</v>
      </c>
      <c r="I4" s="191"/>
    </row>
    <row r="5" spans="2:9" ht="15" customHeight="1">
      <c r="B5" s="67">
        <v>6</v>
      </c>
      <c r="C5" s="7">
        <f>($B$4/10)*(PI()*(B5/10)^2)/4</f>
        <v>0.22195352097611887</v>
      </c>
      <c r="D5" s="7">
        <f t="shared" ref="D5:D27" si="0">(PI()*(B5/10)^2)/4</f>
        <v>0.28274333882308139</v>
      </c>
      <c r="E5" s="7">
        <f>(PI()*((B5)/10)^3)/16</f>
        <v>4.2411500823462206E-2</v>
      </c>
      <c r="F5" s="8">
        <f>PI()*(B5/10)*100</f>
        <v>188.49555921538757</v>
      </c>
    </row>
    <row r="6" spans="2:9" ht="15" customHeight="1">
      <c r="B6" s="67">
        <v>8</v>
      </c>
      <c r="C6" s="7">
        <f t="shared" ref="C6:C27" si="1">($B$4/10)*(PI()*(B6/10)^2)/4</f>
        <v>0.39458403729087799</v>
      </c>
      <c r="D6" s="7">
        <f t="shared" si="0"/>
        <v>0.50265482457436694</v>
      </c>
      <c r="E6" s="7">
        <f>(PI()*((B6/2)/10)^3)/4</f>
        <v>5.02654824574367E-2</v>
      </c>
      <c r="F6" s="8">
        <f t="shared" ref="F6:F26" si="2">PI()*(B6/10)*100</f>
        <v>251.32741228718345</v>
      </c>
    </row>
    <row r="7" spans="2:9" ht="15" customHeight="1">
      <c r="B7" s="67">
        <v>10</v>
      </c>
      <c r="C7" s="7">
        <f t="shared" si="1"/>
        <v>0.61653755826699685</v>
      </c>
      <c r="D7" s="7">
        <f t="shared" si="0"/>
        <v>0.78539816339744828</v>
      </c>
      <c r="E7" s="7">
        <f>(PI()*((B7/2)/10)^3)/4</f>
        <v>9.8174770424681035E-2</v>
      </c>
      <c r="F7" s="8">
        <f t="shared" si="2"/>
        <v>314.15926535897933</v>
      </c>
    </row>
    <row r="8" spans="2:9" ht="15" customHeight="1">
      <c r="B8" s="67">
        <v>12</v>
      </c>
      <c r="C8" s="7">
        <f t="shared" si="1"/>
        <v>0.88781408390447547</v>
      </c>
      <c r="D8" s="7">
        <f t="shared" si="0"/>
        <v>1.1309733552923256</v>
      </c>
      <c r="E8" s="7">
        <f t="shared" ref="E8:E27" si="3">(PI()*((B8/2)/10)^3)/4</f>
        <v>0.16964600329384882</v>
      </c>
      <c r="F8" s="8">
        <f t="shared" si="2"/>
        <v>376.99111843077515</v>
      </c>
    </row>
    <row r="9" spans="2:9" ht="15" customHeight="1">
      <c r="B9" s="67">
        <v>14</v>
      </c>
      <c r="C9" s="7">
        <f t="shared" si="1"/>
        <v>1.2084136142033135</v>
      </c>
      <c r="D9" s="7">
        <f t="shared" si="0"/>
        <v>1.5393804002589984</v>
      </c>
      <c r="E9" s="7">
        <f t="shared" si="3"/>
        <v>0.26939157004532471</v>
      </c>
      <c r="F9" s="8">
        <f t="shared" si="2"/>
        <v>439.82297150257102</v>
      </c>
    </row>
    <row r="10" spans="2:9" ht="15" customHeight="1">
      <c r="B10" s="67">
        <v>16</v>
      </c>
      <c r="C10" s="7">
        <f t="shared" si="1"/>
        <v>1.5783361491635119</v>
      </c>
      <c r="D10" s="7">
        <f t="shared" si="0"/>
        <v>2.0106192982974678</v>
      </c>
      <c r="E10" s="7">
        <f t="shared" si="3"/>
        <v>0.4021238596594936</v>
      </c>
      <c r="F10" s="8">
        <f t="shared" si="2"/>
        <v>502.6548245743669</v>
      </c>
      <c r="I10" s="178"/>
    </row>
    <row r="11" spans="2:9" ht="15" customHeight="1">
      <c r="B11" s="67">
        <v>18</v>
      </c>
      <c r="C11" s="7">
        <f t="shared" si="1"/>
        <v>1.9975816887850699</v>
      </c>
      <c r="D11" s="7">
        <f t="shared" si="0"/>
        <v>2.5446900494077327</v>
      </c>
      <c r="E11" s="7">
        <f t="shared" si="3"/>
        <v>0.57255526111673982</v>
      </c>
      <c r="F11" s="8">
        <f t="shared" si="2"/>
        <v>565.48667764616278</v>
      </c>
    </row>
    <row r="12" spans="2:9" ht="15" customHeight="1">
      <c r="B12" s="67">
        <v>20</v>
      </c>
      <c r="C12" s="7">
        <f t="shared" si="1"/>
        <v>2.4661502330679874</v>
      </c>
      <c r="D12" s="7">
        <f t="shared" si="0"/>
        <v>3.1415926535897931</v>
      </c>
      <c r="E12" s="7">
        <f t="shared" si="3"/>
        <v>0.78539816339744828</v>
      </c>
      <c r="F12" s="8">
        <f t="shared" si="2"/>
        <v>628.31853071795865</v>
      </c>
    </row>
    <row r="13" spans="2:9" ht="15" customHeight="1">
      <c r="B13" s="67">
        <v>22</v>
      </c>
      <c r="C13" s="7">
        <f t="shared" si="1"/>
        <v>2.9840417820122651</v>
      </c>
      <c r="D13" s="7">
        <f t="shared" si="0"/>
        <v>3.8013271108436504</v>
      </c>
      <c r="E13" s="7">
        <f t="shared" si="3"/>
        <v>1.0453649554820039</v>
      </c>
      <c r="F13" s="8">
        <f t="shared" si="2"/>
        <v>691.15038378975453</v>
      </c>
    </row>
    <row r="14" spans="2:9" ht="15" customHeight="1">
      <c r="B14" s="67">
        <v>24</v>
      </c>
      <c r="C14" s="7">
        <f t="shared" si="1"/>
        <v>3.5512563356179019</v>
      </c>
      <c r="D14" s="7">
        <f t="shared" si="0"/>
        <v>4.5238934211693023</v>
      </c>
      <c r="E14" s="7">
        <f t="shared" si="3"/>
        <v>1.3571680263507906</v>
      </c>
      <c r="F14" s="8">
        <f t="shared" si="2"/>
        <v>753.98223686155029</v>
      </c>
    </row>
    <row r="15" spans="2:9" ht="15" customHeight="1">
      <c r="B15" s="67">
        <v>26</v>
      </c>
      <c r="C15" s="7">
        <f t="shared" si="1"/>
        <v>4.1677938938848991</v>
      </c>
      <c r="D15" s="7">
        <f t="shared" si="0"/>
        <v>5.3092915845667505</v>
      </c>
      <c r="E15" s="7">
        <f t="shared" si="3"/>
        <v>1.7255197649841942</v>
      </c>
      <c r="F15" s="8">
        <f t="shared" si="2"/>
        <v>816.81408993334617</v>
      </c>
    </row>
    <row r="16" spans="2:9" ht="15" customHeight="1">
      <c r="B16" s="67">
        <v>28</v>
      </c>
      <c r="C16" s="7">
        <f t="shared" si="1"/>
        <v>4.833654456813254</v>
      </c>
      <c r="D16" s="7">
        <f t="shared" si="0"/>
        <v>6.1575216010359934</v>
      </c>
      <c r="E16" s="7">
        <f t="shared" si="3"/>
        <v>2.1551325603625977</v>
      </c>
      <c r="F16" s="8">
        <f t="shared" si="2"/>
        <v>879.64594300514204</v>
      </c>
    </row>
    <row r="17" spans="2:6" ht="15" customHeight="1">
      <c r="B17" s="67">
        <v>30</v>
      </c>
      <c r="C17" s="7">
        <f t="shared" si="1"/>
        <v>5.5488380244029711</v>
      </c>
      <c r="D17" s="7">
        <f t="shared" si="0"/>
        <v>7.0685834705770345</v>
      </c>
      <c r="E17" s="7">
        <f t="shared" si="3"/>
        <v>2.6507188014663878</v>
      </c>
      <c r="F17" s="8">
        <f t="shared" si="2"/>
        <v>942.47779607693792</v>
      </c>
    </row>
    <row r="18" spans="2:6" ht="15" customHeight="1">
      <c r="B18" s="67">
        <v>32</v>
      </c>
      <c r="C18" s="7">
        <f t="shared" si="1"/>
        <v>6.3133445966540478</v>
      </c>
      <c r="D18" s="7">
        <f t="shared" si="0"/>
        <v>8.0424771931898711</v>
      </c>
      <c r="E18" s="7">
        <f t="shared" si="3"/>
        <v>3.2169908772759488</v>
      </c>
      <c r="F18" s="8">
        <f t="shared" si="2"/>
        <v>1005.3096491487338</v>
      </c>
    </row>
    <row r="19" spans="2:6" ht="15" customHeight="1">
      <c r="B19" s="67">
        <v>34</v>
      </c>
      <c r="C19" s="7">
        <f t="shared" si="1"/>
        <v>7.1271741735664822</v>
      </c>
      <c r="D19" s="7">
        <f t="shared" si="0"/>
        <v>9.0792027688745005</v>
      </c>
      <c r="E19" s="7">
        <f t="shared" si="3"/>
        <v>3.8586611767716628</v>
      </c>
      <c r="F19" s="8">
        <f t="shared" si="2"/>
        <v>1068.1415022205297</v>
      </c>
    </row>
    <row r="20" spans="2:6" ht="15" customHeight="1">
      <c r="B20" s="67">
        <v>36</v>
      </c>
      <c r="C20" s="7">
        <f t="shared" si="1"/>
        <v>7.9903267551402797</v>
      </c>
      <c r="D20" s="7">
        <f t="shared" si="0"/>
        <v>10.178760197630931</v>
      </c>
      <c r="E20" s="7">
        <f t="shared" si="3"/>
        <v>4.5804420889339186</v>
      </c>
      <c r="F20" s="8">
        <f t="shared" si="2"/>
        <v>1130.9733552923256</v>
      </c>
    </row>
    <row r="21" spans="2:6" ht="15" customHeight="1">
      <c r="B21" s="67">
        <v>38</v>
      </c>
      <c r="C21" s="7">
        <f t="shared" si="1"/>
        <v>8.902802341375434</v>
      </c>
      <c r="D21" s="7">
        <f t="shared" si="0"/>
        <v>11.341149479459153</v>
      </c>
      <c r="E21" s="7">
        <f t="shared" si="3"/>
        <v>5.3870460027430971</v>
      </c>
      <c r="F21" s="8">
        <f t="shared" si="2"/>
        <v>1193.8052083641214</v>
      </c>
    </row>
    <row r="22" spans="2:6" ht="15" customHeight="1">
      <c r="B22" s="67">
        <v>40</v>
      </c>
      <c r="C22" s="7">
        <f t="shared" si="1"/>
        <v>9.8646009322719497</v>
      </c>
      <c r="D22" s="7">
        <f t="shared" si="0"/>
        <v>12.566370614359172</v>
      </c>
      <c r="E22" s="7">
        <f t="shared" si="3"/>
        <v>6.2831853071795862</v>
      </c>
      <c r="F22" s="8">
        <f t="shared" si="2"/>
        <v>1256.6370614359173</v>
      </c>
    </row>
    <row r="23" spans="2:6" ht="15" customHeight="1">
      <c r="B23" s="67">
        <v>42</v>
      </c>
      <c r="C23" s="7">
        <f t="shared" si="1"/>
        <v>10.875722527829824</v>
      </c>
      <c r="D23" s="7">
        <f t="shared" si="0"/>
        <v>13.854423602330987</v>
      </c>
      <c r="E23" s="7">
        <f t="shared" si="3"/>
        <v>7.2735723912237695</v>
      </c>
      <c r="F23" s="8">
        <f t="shared" si="2"/>
        <v>1319.4689145077132</v>
      </c>
    </row>
    <row r="24" spans="2:6" ht="15" customHeight="1">
      <c r="B24" s="67">
        <v>44</v>
      </c>
      <c r="C24" s="7">
        <f t="shared" si="1"/>
        <v>11.93616712804906</v>
      </c>
      <c r="D24" s="7">
        <f t="shared" si="0"/>
        <v>15.205308443374602</v>
      </c>
      <c r="E24" s="7">
        <f t="shared" si="3"/>
        <v>8.3629196438560314</v>
      </c>
      <c r="F24" s="8">
        <f t="shared" si="2"/>
        <v>1382.3007675795091</v>
      </c>
    </row>
    <row r="25" spans="2:6" ht="15" customHeight="1">
      <c r="B25" s="67">
        <v>46</v>
      </c>
      <c r="C25" s="7">
        <f t="shared" si="1"/>
        <v>13.04593473292965</v>
      </c>
      <c r="D25" s="7">
        <f t="shared" si="0"/>
        <v>16.619025137490002</v>
      </c>
      <c r="E25" s="7">
        <f t="shared" si="3"/>
        <v>9.5559394540567499</v>
      </c>
      <c r="F25" s="8">
        <f t="shared" si="2"/>
        <v>1445.1326206513047</v>
      </c>
    </row>
    <row r="26" spans="2:6" ht="15" customHeight="1">
      <c r="B26" s="67">
        <v>48</v>
      </c>
      <c r="C26" s="7">
        <f t="shared" si="1"/>
        <v>14.205025342471608</v>
      </c>
      <c r="D26" s="7">
        <f t="shared" si="0"/>
        <v>18.095573684677209</v>
      </c>
      <c r="E26" s="7">
        <f t="shared" si="3"/>
        <v>10.857344210806325</v>
      </c>
      <c r="F26" s="8">
        <f t="shared" si="2"/>
        <v>1507.9644737231006</v>
      </c>
    </row>
    <row r="27" spans="2:6" ht="15" customHeight="1" thickBot="1">
      <c r="B27" s="69">
        <v>50</v>
      </c>
      <c r="C27" s="10">
        <f t="shared" si="1"/>
        <v>15.413438956674922</v>
      </c>
      <c r="D27" s="10">
        <f t="shared" si="0"/>
        <v>19.634954084936208</v>
      </c>
      <c r="E27" s="10">
        <f t="shared" si="3"/>
        <v>12.271846303085129</v>
      </c>
      <c r="F27" s="11">
        <f>PI()*(B27/10)*100</f>
        <v>1570.7963267948965</v>
      </c>
    </row>
    <row r="28" spans="2:6" ht="13.8" thickTop="1"/>
  </sheetData>
  <customSheetViews>
    <customSheetView guid="{C0BE45DA-73C0-4B1E-ABFB-A0FAB57D4E46}" showGridLines="0" showRuler="0">
      <selection activeCell="B2" sqref="B2:F2"/>
      <pageMargins left="0.75" right="0.75" top="1" bottom="1" header="0.5" footer="0.5"/>
      <headerFooter alignWithMargins="0"/>
    </customSheetView>
  </customSheetViews>
  <mergeCells count="1">
    <mergeCell ref="B1:F1"/>
  </mergeCells>
  <phoneticPr fontId="2" type="noConversion"/>
  <pageMargins left="0.94488188976377963" right="0.35433070866141736" top="0.98425196850393704" bottom="0.39370078740157483" header="0.51181102362204722" footer="0.51181102362204722"/>
  <pageSetup paperSize="9" orientation="portrait" horizontalDpi="4294967293" verticalDpi="0"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8"/>
  </sheetPr>
  <dimension ref="B1:S86"/>
  <sheetViews>
    <sheetView showGridLines="0" showZeros="0" workbookViewId="0">
      <pane xSplit="1" ySplit="4" topLeftCell="B5" activePane="bottomRight" state="frozen"/>
      <selection pane="topRight" activeCell="B1" sqref="B1"/>
      <selection pane="bottomLeft" activeCell="A6" sqref="A6"/>
      <selection pane="bottomRight" activeCell="B1" sqref="B1:P1"/>
    </sheetView>
  </sheetViews>
  <sheetFormatPr defaultColWidth="9.109375" defaultRowHeight="10.199999999999999"/>
  <cols>
    <col min="1" max="1" width="2.6640625" style="124" customWidth="1"/>
    <col min="2" max="2" width="10.6640625" style="124" customWidth="1"/>
    <col min="3" max="5" width="5.6640625" style="124" customWidth="1"/>
    <col min="6" max="7" width="8.6640625" style="124" customWidth="1"/>
    <col min="8" max="10" width="5.6640625" style="124" customWidth="1"/>
    <col min="11" max="12" width="8.6640625" style="124" customWidth="1"/>
    <col min="13" max="14" width="10.6640625" style="124" customWidth="1"/>
    <col min="15" max="16" width="8.6640625" style="124" customWidth="1"/>
    <col min="17" max="17" width="1.6640625" style="124" customWidth="1"/>
    <col min="18" max="18" width="5.6640625" style="124" customWidth="1"/>
    <col min="19" max="19" width="10.6640625" style="124" customWidth="1"/>
    <col min="20" max="16384" width="9.109375" style="124"/>
  </cols>
  <sheetData>
    <row r="1" spans="2:19" ht="20.100000000000001" customHeight="1" thickBot="1">
      <c r="B1" s="462" t="s">
        <v>648</v>
      </c>
      <c r="C1" s="462"/>
      <c r="D1" s="462"/>
      <c r="E1" s="462"/>
      <c r="F1" s="462"/>
      <c r="G1" s="462"/>
      <c r="H1" s="462"/>
      <c r="I1" s="462"/>
      <c r="J1" s="462"/>
      <c r="K1" s="462"/>
      <c r="L1" s="462"/>
      <c r="M1" s="462"/>
      <c r="N1" s="462"/>
      <c r="O1" s="462"/>
      <c r="P1" s="462"/>
      <c r="Q1" s="213"/>
    </row>
    <row r="2" spans="2:19" ht="20.100000000000001" customHeight="1" thickTop="1">
      <c r="B2" s="209" t="s">
        <v>306</v>
      </c>
      <c r="C2" s="463" t="s">
        <v>641</v>
      </c>
      <c r="D2" s="463"/>
      <c r="E2" s="463"/>
      <c r="F2" s="464" t="s">
        <v>307</v>
      </c>
      <c r="G2" s="465"/>
      <c r="H2" s="464" t="s">
        <v>308</v>
      </c>
      <c r="I2" s="463"/>
      <c r="J2" s="465"/>
      <c r="K2" s="464" t="s">
        <v>309</v>
      </c>
      <c r="L2" s="465"/>
      <c r="M2" s="209" t="s">
        <v>310</v>
      </c>
      <c r="N2" s="210" t="s">
        <v>311</v>
      </c>
      <c r="O2" s="211" t="s">
        <v>312</v>
      </c>
      <c r="P2" s="212" t="s">
        <v>313</v>
      </c>
      <c r="Q2" s="217"/>
    </row>
    <row r="3" spans="2:19" ht="20.100000000000001" customHeight="1">
      <c r="B3" s="214" t="s">
        <v>314</v>
      </c>
      <c r="C3" s="458" t="s">
        <v>642</v>
      </c>
      <c r="D3" s="458"/>
      <c r="E3" s="458"/>
      <c r="F3" s="459" t="s">
        <v>643</v>
      </c>
      <c r="G3" s="460"/>
      <c r="H3" s="459" t="s">
        <v>643</v>
      </c>
      <c r="I3" s="461"/>
      <c r="J3" s="460"/>
      <c r="K3" s="459" t="s">
        <v>644</v>
      </c>
      <c r="L3" s="460"/>
      <c r="M3" s="214" t="s">
        <v>315</v>
      </c>
      <c r="N3" s="218" t="s">
        <v>315</v>
      </c>
      <c r="O3" s="214" t="s">
        <v>316</v>
      </c>
      <c r="P3" s="218" t="s">
        <v>316</v>
      </c>
      <c r="Q3" s="216"/>
      <c r="R3" s="215"/>
      <c r="S3" s="215"/>
    </row>
    <row r="4" spans="2:19" ht="20.399999999999999">
      <c r="B4" s="219" t="s">
        <v>317</v>
      </c>
      <c r="C4" s="125" t="s">
        <v>318</v>
      </c>
      <c r="D4" s="126" t="s">
        <v>319</v>
      </c>
      <c r="E4" s="125" t="s">
        <v>320</v>
      </c>
      <c r="F4" s="219" t="s">
        <v>318</v>
      </c>
      <c r="G4" s="220" t="s">
        <v>320</v>
      </c>
      <c r="H4" s="219" t="s">
        <v>318</v>
      </c>
      <c r="I4" s="221" t="s">
        <v>645</v>
      </c>
      <c r="J4" s="220" t="s">
        <v>320</v>
      </c>
      <c r="K4" s="219" t="s">
        <v>318</v>
      </c>
      <c r="L4" s="220" t="s">
        <v>320</v>
      </c>
      <c r="M4" s="222" t="s">
        <v>646</v>
      </c>
      <c r="N4" s="223" t="s">
        <v>647</v>
      </c>
      <c r="O4" s="219" t="s">
        <v>322</v>
      </c>
      <c r="P4" s="220" t="s">
        <v>322</v>
      </c>
      <c r="Q4" s="232"/>
      <c r="R4" s="219" t="s">
        <v>323</v>
      </c>
      <c r="S4" s="220" t="s">
        <v>317</v>
      </c>
    </row>
    <row r="5" spans="2:19">
      <c r="B5" s="224" t="s">
        <v>324</v>
      </c>
      <c r="C5" s="127">
        <v>5</v>
      </c>
      <c r="D5" s="127"/>
      <c r="E5" s="127">
        <v>2.15</v>
      </c>
      <c r="F5" s="219">
        <v>150</v>
      </c>
      <c r="G5" s="220">
        <v>150</v>
      </c>
      <c r="H5" s="225">
        <v>4.5</v>
      </c>
      <c r="I5" s="125"/>
      <c r="J5" s="226">
        <v>4.5</v>
      </c>
      <c r="K5" s="227">
        <f>VLOOKUP($H5,'ÇELİK HASIR-KESİT TABLOSU'!$B$8:$AA$30,HLOOKUP($F5,'ÇELİK HASIR-KESİT TABLOSU'!$B$5:$AA$8,3,FALSE)+3)*(IF(I5="d",2,1))</f>
        <v>1.06</v>
      </c>
      <c r="L5" s="228">
        <f>VLOOKUP($J5,'ÇELİK HASIR-KESİT TABLOSU'!$B$8:$AA$30,HLOOKUP($G5,'ÇELİK HASIR-KESİT TABLOSU'!$B$5:$AA$8,3,FALSE)+3)</f>
        <v>1.06</v>
      </c>
      <c r="M5" s="229">
        <f t="shared" ref="M5:M68" si="0">ROUND(N5/(5*E5),2)</f>
        <v>1.69</v>
      </c>
      <c r="N5" s="230">
        <f>ROUND((C5*P5*(VLOOKUP(H5,'ÇELİK HASIR-KESİT TABLOSU'!$B$8:$AA$30,2)))+(E5*O5*(VLOOKUP(J5,'ÇELİK HASIR-KESİT TABLOSU'!$B$8:$AA$30,2))),2)</f>
        <v>18.22</v>
      </c>
      <c r="O5" s="219">
        <f t="shared" ref="O5:O68" si="1">ROUND((((C5-(IF(MID(B5,1,1)="Q",0.2,0.25))-(IF(D5&lt;&gt;0,(IF(MID(B5,1,1)="Q",(D5-0.1),(D5-0.125))),0)))/(G5/1000)+1)),0)</f>
        <v>33</v>
      </c>
      <c r="P5" s="231">
        <f t="shared" ref="P5:P68" si="2">ROUND((((E5-(0.05))/(F5/1000)+1)+(IF(I5="d",(IF(MID(B5,1,1)="Q",((E5-0.05-((F5/1000)*8))/(F5/1000))+1,((E5-0.05-((F5/1000)*4))/(F5/1000))+1)),0))),0)</f>
        <v>15</v>
      </c>
      <c r="Q5" s="232"/>
      <c r="R5" s="219">
        <v>1</v>
      </c>
      <c r="S5" s="233" t="str">
        <f>B5</f>
        <v>Q106/106</v>
      </c>
    </row>
    <row r="6" spans="2:19">
      <c r="B6" s="224" t="s">
        <v>325</v>
      </c>
      <c r="C6" s="127">
        <v>5</v>
      </c>
      <c r="D6" s="127"/>
      <c r="E6" s="127">
        <v>2.15</v>
      </c>
      <c r="F6" s="219">
        <v>150</v>
      </c>
      <c r="G6" s="220">
        <v>150</v>
      </c>
      <c r="H6" s="225">
        <v>4.5</v>
      </c>
      <c r="I6" s="125"/>
      <c r="J6" s="226">
        <v>5</v>
      </c>
      <c r="K6" s="227">
        <f>VLOOKUP($H6,'ÇELİK HASIR-KESİT TABLOSU'!$B$8:$AA$30,HLOOKUP($F6,'ÇELİK HASIR-KESİT TABLOSU'!$B$5:$AA$8,3,FALSE)+3)*(IF(I6="d",2,1))</f>
        <v>1.06</v>
      </c>
      <c r="L6" s="228">
        <f>VLOOKUP($J6,'ÇELİK HASIR-KESİT TABLOSU'!$B$8:$AA$30,HLOOKUP($G6,'ÇELİK HASIR-KESİT TABLOSU'!$B$5:$AA$8,3,FALSE)+3)</f>
        <v>1.31</v>
      </c>
      <c r="M6" s="229">
        <f t="shared" si="0"/>
        <v>1.89</v>
      </c>
      <c r="N6" s="230">
        <f>ROUND((C6*P6*(VLOOKUP(H6,'ÇELİK HASIR-KESİT TABLOSU'!$B$8:$AA$30,2)))+(E6*O6*(VLOOKUP(J6,'ÇELİK HASIR-KESİT TABLOSU'!$B$8:$AA$30,2))),2)</f>
        <v>20.3</v>
      </c>
      <c r="O6" s="219">
        <f t="shared" si="1"/>
        <v>33</v>
      </c>
      <c r="P6" s="231">
        <f t="shared" si="2"/>
        <v>15</v>
      </c>
      <c r="Q6" s="232"/>
      <c r="R6" s="219">
        <f>R5+1</f>
        <v>2</v>
      </c>
      <c r="S6" s="233" t="str">
        <f t="shared" ref="S6:S69" si="3">B6</f>
        <v>Q106/131</v>
      </c>
    </row>
    <row r="7" spans="2:19">
      <c r="B7" s="224" t="s">
        <v>326</v>
      </c>
      <c r="C7" s="127">
        <v>5</v>
      </c>
      <c r="D7" s="127"/>
      <c r="E7" s="127">
        <v>2.15</v>
      </c>
      <c r="F7" s="219">
        <v>150</v>
      </c>
      <c r="G7" s="220">
        <v>150</v>
      </c>
      <c r="H7" s="225">
        <v>4.5</v>
      </c>
      <c r="I7" s="125"/>
      <c r="J7" s="226">
        <v>5.5</v>
      </c>
      <c r="K7" s="227">
        <f>VLOOKUP($H7,'ÇELİK HASIR-KESİT TABLOSU'!$B$8:$AA$30,HLOOKUP($F7,'ÇELİK HASIR-KESİT TABLOSU'!$B$5:$AA$8,3,FALSE)+3)*(IF(I7="d",2,1))</f>
        <v>1.06</v>
      </c>
      <c r="L7" s="228">
        <f>VLOOKUP($J7,'ÇELİK HASIR-KESİT TABLOSU'!$B$8:$AA$30,HLOOKUP($G7,'ÇELİK HASIR-KESİT TABLOSU'!$B$5:$AA$8,3,FALSE)+3)</f>
        <v>1.58</v>
      </c>
      <c r="M7" s="229">
        <f t="shared" si="0"/>
        <v>2.1</v>
      </c>
      <c r="N7" s="230">
        <f>ROUND((C7*P7*(VLOOKUP(H7,'ÇELİK HASIR-KESİT TABLOSU'!$B$8:$AA$30,2)))+(E7*O7*(VLOOKUP(J7,'ÇELİK HASIR-KESİT TABLOSU'!$B$8:$AA$30,2))),2)</f>
        <v>22.6</v>
      </c>
      <c r="O7" s="219">
        <f t="shared" si="1"/>
        <v>33</v>
      </c>
      <c r="P7" s="231">
        <f t="shared" si="2"/>
        <v>15</v>
      </c>
      <c r="Q7" s="232"/>
      <c r="R7" s="219">
        <f t="shared" ref="R7:R70" si="4">R6+1</f>
        <v>3</v>
      </c>
      <c r="S7" s="233" t="str">
        <f t="shared" si="3"/>
        <v>Q106/158</v>
      </c>
    </row>
    <row r="8" spans="2:19">
      <c r="B8" s="224" t="s">
        <v>327</v>
      </c>
      <c r="C8" s="127">
        <v>5</v>
      </c>
      <c r="D8" s="127"/>
      <c r="E8" s="127">
        <v>2.15</v>
      </c>
      <c r="F8" s="219">
        <v>150</v>
      </c>
      <c r="G8" s="220">
        <v>150</v>
      </c>
      <c r="H8" s="225">
        <v>5</v>
      </c>
      <c r="I8" s="125"/>
      <c r="J8" s="226">
        <v>4.5</v>
      </c>
      <c r="K8" s="227">
        <f>VLOOKUP($H8,'ÇELİK HASIR-KESİT TABLOSU'!$B$8:$AA$30,HLOOKUP($F8,'ÇELİK HASIR-KESİT TABLOSU'!$B$5:$AA$8,3,FALSE)+3)*(IF(I8="d",2,1))</f>
        <v>1.31</v>
      </c>
      <c r="L8" s="228">
        <f>VLOOKUP($J8,'ÇELİK HASIR-KESİT TABLOSU'!$B$8:$AA$30,HLOOKUP($G8,'ÇELİK HASIR-KESİT TABLOSU'!$B$5:$AA$8,3,FALSE)+3)</f>
        <v>1.06</v>
      </c>
      <c r="M8" s="229">
        <f t="shared" si="0"/>
        <v>1.9</v>
      </c>
      <c r="N8" s="230">
        <f>ROUND((C8*P8*(VLOOKUP(H8,'ÇELİK HASIR-KESİT TABLOSU'!$B$8:$AA$30,2)))+(E8*O8*(VLOOKUP(J8,'ÇELİK HASIR-KESİT TABLOSU'!$B$8:$AA$30,2))),2)</f>
        <v>20.420000000000002</v>
      </c>
      <c r="O8" s="219">
        <f t="shared" si="1"/>
        <v>33</v>
      </c>
      <c r="P8" s="231">
        <f t="shared" si="2"/>
        <v>15</v>
      </c>
      <c r="Q8" s="232"/>
      <c r="R8" s="219">
        <f t="shared" si="4"/>
        <v>4</v>
      </c>
      <c r="S8" s="233" t="str">
        <f t="shared" si="3"/>
        <v>Q131/106</v>
      </c>
    </row>
    <row r="9" spans="2:19">
      <c r="B9" s="224" t="s">
        <v>328</v>
      </c>
      <c r="C9" s="127">
        <v>5</v>
      </c>
      <c r="D9" s="127"/>
      <c r="E9" s="127">
        <v>2.15</v>
      </c>
      <c r="F9" s="219">
        <v>150</v>
      </c>
      <c r="G9" s="220">
        <v>150</v>
      </c>
      <c r="H9" s="225">
        <v>5</v>
      </c>
      <c r="I9" s="125"/>
      <c r="J9" s="226">
        <v>5</v>
      </c>
      <c r="K9" s="227">
        <f>VLOOKUP($H9,'ÇELİK HASIR-KESİT TABLOSU'!$B$8:$AA$30,HLOOKUP($F9,'ÇELİK HASIR-KESİT TABLOSU'!$B$5:$AA$8,3,FALSE)+3)*(IF(I9="d",2,1))</f>
        <v>1.31</v>
      </c>
      <c r="L9" s="228">
        <f>VLOOKUP($J9,'ÇELİK HASIR-KESİT TABLOSU'!$B$8:$AA$30,HLOOKUP($G9,'ÇELİK HASIR-KESİT TABLOSU'!$B$5:$AA$8,3,FALSE)+3)</f>
        <v>1.31</v>
      </c>
      <c r="M9" s="229">
        <f t="shared" si="0"/>
        <v>2.09</v>
      </c>
      <c r="N9" s="230">
        <f>ROUND((C9*P9*(VLOOKUP(H9,'ÇELİK HASIR-KESİT TABLOSU'!$B$8:$AA$30,2)))+(E9*O9*(VLOOKUP(J9,'ÇELİK HASIR-KESİT TABLOSU'!$B$8:$AA$30,2))),2)</f>
        <v>22.5</v>
      </c>
      <c r="O9" s="219">
        <f t="shared" si="1"/>
        <v>33</v>
      </c>
      <c r="P9" s="231">
        <f t="shared" si="2"/>
        <v>15</v>
      </c>
      <c r="Q9" s="232"/>
      <c r="R9" s="219">
        <f t="shared" si="4"/>
        <v>5</v>
      </c>
      <c r="S9" s="233" t="str">
        <f t="shared" si="3"/>
        <v>Q131/131</v>
      </c>
    </row>
    <row r="10" spans="2:19">
      <c r="B10" s="224" t="s">
        <v>329</v>
      </c>
      <c r="C10" s="127">
        <v>5</v>
      </c>
      <c r="D10" s="127"/>
      <c r="E10" s="127">
        <v>2.15</v>
      </c>
      <c r="F10" s="219">
        <v>150</v>
      </c>
      <c r="G10" s="220">
        <v>150</v>
      </c>
      <c r="H10" s="225">
        <v>5</v>
      </c>
      <c r="I10" s="125"/>
      <c r="J10" s="226">
        <v>5.5</v>
      </c>
      <c r="K10" s="227">
        <f>VLOOKUP($H10,'ÇELİK HASIR-KESİT TABLOSU'!$B$8:$AA$30,HLOOKUP($F10,'ÇELİK HASIR-KESİT TABLOSU'!$B$5:$AA$8,3,FALSE)+3)*(IF(I10="d",2,1))</f>
        <v>1.31</v>
      </c>
      <c r="L10" s="228">
        <f>VLOOKUP($J10,'ÇELİK HASIR-KESİT TABLOSU'!$B$8:$AA$30,HLOOKUP($G10,'ÇELİK HASIR-KESİT TABLOSU'!$B$5:$AA$8,3,FALSE)+3)</f>
        <v>1.58</v>
      </c>
      <c r="M10" s="229">
        <f t="shared" si="0"/>
        <v>2.31</v>
      </c>
      <c r="N10" s="230">
        <f>ROUND((C10*P10*(VLOOKUP(H10,'ÇELİK HASIR-KESİT TABLOSU'!$B$8:$AA$30,2)))+(E10*O10*(VLOOKUP(J10,'ÇELİK HASIR-KESİT TABLOSU'!$B$8:$AA$30,2))),2)</f>
        <v>24.79</v>
      </c>
      <c r="O10" s="219">
        <f t="shared" si="1"/>
        <v>33</v>
      </c>
      <c r="P10" s="231">
        <f t="shared" si="2"/>
        <v>15</v>
      </c>
      <c r="Q10" s="232"/>
      <c r="R10" s="219">
        <f t="shared" si="4"/>
        <v>6</v>
      </c>
      <c r="S10" s="233" t="str">
        <f t="shared" si="3"/>
        <v>Q131/158</v>
      </c>
    </row>
    <row r="11" spans="2:19">
      <c r="B11" s="224" t="s">
        <v>330</v>
      </c>
      <c r="C11" s="127">
        <v>5</v>
      </c>
      <c r="D11" s="127"/>
      <c r="E11" s="127">
        <v>2.15</v>
      </c>
      <c r="F11" s="219">
        <v>150</v>
      </c>
      <c r="G11" s="220">
        <v>150</v>
      </c>
      <c r="H11" s="225">
        <v>5</v>
      </c>
      <c r="I11" s="125"/>
      <c r="J11" s="226">
        <v>6</v>
      </c>
      <c r="K11" s="227">
        <f>VLOOKUP($H11,'ÇELİK HASIR-KESİT TABLOSU'!$B$8:$AA$30,HLOOKUP($F11,'ÇELİK HASIR-KESİT TABLOSU'!$B$5:$AA$8,3,FALSE)+3)*(IF(I11="d",2,1))</f>
        <v>1.31</v>
      </c>
      <c r="L11" s="228">
        <f>VLOOKUP($J11,'ÇELİK HASIR-KESİT TABLOSU'!$B$8:$AA$30,HLOOKUP($G11,'ÇELİK HASIR-KESİT TABLOSU'!$B$5:$AA$8,3,FALSE)+3)</f>
        <v>1.88</v>
      </c>
      <c r="M11" s="229">
        <f t="shared" si="0"/>
        <v>2.54</v>
      </c>
      <c r="N11" s="230">
        <f>ROUND((C11*P11*(VLOOKUP(H11,'ÇELİK HASIR-KESİT TABLOSU'!$B$8:$AA$30,2)))+(E11*O11*(VLOOKUP(J11,'ÇELİK HASIR-KESİT TABLOSU'!$B$8:$AA$30,2))),2)</f>
        <v>27.31</v>
      </c>
      <c r="O11" s="219">
        <f t="shared" si="1"/>
        <v>33</v>
      </c>
      <c r="P11" s="231">
        <f t="shared" si="2"/>
        <v>15</v>
      </c>
      <c r="Q11" s="232"/>
      <c r="R11" s="219">
        <f t="shared" si="4"/>
        <v>7</v>
      </c>
      <c r="S11" s="233" t="str">
        <f t="shared" si="3"/>
        <v>Q131/188</v>
      </c>
    </row>
    <row r="12" spans="2:19">
      <c r="B12" s="224" t="s">
        <v>331</v>
      </c>
      <c r="C12" s="127">
        <v>5</v>
      </c>
      <c r="D12" s="127"/>
      <c r="E12" s="127">
        <v>2.15</v>
      </c>
      <c r="F12" s="219">
        <v>150</v>
      </c>
      <c r="G12" s="220">
        <v>150</v>
      </c>
      <c r="H12" s="225">
        <v>5</v>
      </c>
      <c r="I12" s="125"/>
      <c r="J12" s="226">
        <v>6.5</v>
      </c>
      <c r="K12" s="227">
        <f>VLOOKUP($H12,'ÇELİK HASIR-KESİT TABLOSU'!$B$8:$AA$30,HLOOKUP($F12,'ÇELİK HASIR-KESİT TABLOSU'!$B$5:$AA$8,3,FALSE)+3)*(IF(I12="d",2,1))</f>
        <v>1.31</v>
      </c>
      <c r="L12" s="228">
        <f>VLOOKUP($J12,'ÇELİK HASIR-KESİT TABLOSU'!$B$8:$AA$30,HLOOKUP($G12,'ÇELİK HASIR-KESİT TABLOSU'!$B$5:$AA$8,3,FALSE)+3)</f>
        <v>2.21</v>
      </c>
      <c r="M12" s="229">
        <f t="shared" si="0"/>
        <v>2.79</v>
      </c>
      <c r="N12" s="230">
        <f>ROUND((C12*P12*(VLOOKUP(H12,'ÇELİK HASIR-KESİT TABLOSU'!$B$8:$AA$30,2)))+(E12*O12*(VLOOKUP(J12,'ÇELİK HASIR-KESİT TABLOSU'!$B$8:$AA$30,2))),2)</f>
        <v>30.04</v>
      </c>
      <c r="O12" s="219">
        <f t="shared" si="1"/>
        <v>33</v>
      </c>
      <c r="P12" s="231">
        <f t="shared" si="2"/>
        <v>15</v>
      </c>
      <c r="Q12" s="232"/>
      <c r="R12" s="219">
        <f t="shared" si="4"/>
        <v>8</v>
      </c>
      <c r="S12" s="233" t="str">
        <f t="shared" si="3"/>
        <v>Q131/221</v>
      </c>
    </row>
    <row r="13" spans="2:19">
      <c r="B13" s="224" t="s">
        <v>332</v>
      </c>
      <c r="C13" s="127">
        <v>5</v>
      </c>
      <c r="D13" s="127"/>
      <c r="E13" s="127">
        <v>2.15</v>
      </c>
      <c r="F13" s="234">
        <v>150</v>
      </c>
      <c r="G13" s="231">
        <v>150</v>
      </c>
      <c r="H13" s="235">
        <v>5</v>
      </c>
      <c r="I13" s="128"/>
      <c r="J13" s="236">
        <v>7</v>
      </c>
      <c r="K13" s="227">
        <f>VLOOKUP($H13,'ÇELİK HASIR-KESİT TABLOSU'!$B$8:$AA$30,HLOOKUP($F13,'ÇELİK HASIR-KESİT TABLOSU'!$B$5:$AA$8,3,FALSE)+3)*(IF(I13="d",2,1))</f>
        <v>1.31</v>
      </c>
      <c r="L13" s="228">
        <f>VLOOKUP($J13,'ÇELİK HASIR-KESİT TABLOSU'!$B$8:$AA$30,HLOOKUP($G13,'ÇELİK HASIR-KESİT TABLOSU'!$B$5:$AA$8,3,FALSE)+3)</f>
        <v>2.57</v>
      </c>
      <c r="M13" s="229">
        <f t="shared" si="0"/>
        <v>3.07</v>
      </c>
      <c r="N13" s="230">
        <f>ROUND((C13*P13*(VLOOKUP(H13,'ÇELİK HASIR-KESİT TABLOSU'!$B$8:$AA$30,2)))+(E13*O13*(VLOOKUP(J13,'ÇELİK HASIR-KESİT TABLOSU'!$B$8:$AA$30,2))),2)</f>
        <v>32.99</v>
      </c>
      <c r="O13" s="219">
        <f t="shared" si="1"/>
        <v>33</v>
      </c>
      <c r="P13" s="231">
        <f t="shared" si="2"/>
        <v>15</v>
      </c>
      <c r="Q13" s="232"/>
      <c r="R13" s="219">
        <f t="shared" si="4"/>
        <v>9</v>
      </c>
      <c r="S13" s="233" t="str">
        <f t="shared" si="3"/>
        <v>Q131/257</v>
      </c>
    </row>
    <row r="14" spans="2:19">
      <c r="B14" s="224" t="s">
        <v>333</v>
      </c>
      <c r="C14" s="127">
        <v>5</v>
      </c>
      <c r="D14" s="127"/>
      <c r="E14" s="127">
        <v>2.15</v>
      </c>
      <c r="F14" s="234">
        <v>150</v>
      </c>
      <c r="G14" s="231">
        <v>150</v>
      </c>
      <c r="H14" s="235">
        <v>5</v>
      </c>
      <c r="I14" s="128"/>
      <c r="J14" s="236">
        <v>7.5</v>
      </c>
      <c r="K14" s="227">
        <f>VLOOKUP($H14,'ÇELİK HASIR-KESİT TABLOSU'!$B$8:$AA$30,HLOOKUP($F14,'ÇELİK HASIR-KESİT TABLOSU'!$B$5:$AA$8,3,FALSE)+3)*(IF(I14="d",2,1))</f>
        <v>1.31</v>
      </c>
      <c r="L14" s="228">
        <f>VLOOKUP($J14,'ÇELİK HASIR-KESİT TABLOSU'!$B$8:$AA$30,HLOOKUP($G14,'ÇELİK HASIR-KESİT TABLOSU'!$B$5:$AA$8,3,FALSE)+3)</f>
        <v>2.95</v>
      </c>
      <c r="M14" s="229">
        <f t="shared" si="0"/>
        <v>3.36</v>
      </c>
      <c r="N14" s="230">
        <f>ROUND((C14*P14*(VLOOKUP(H14,'ÇELİK HASIR-KESİT TABLOSU'!$B$8:$AA$30,2)))+(E14*O14*(VLOOKUP(J14,'ÇELİK HASIR-KESİT TABLOSU'!$B$8:$AA$30,2))),2)</f>
        <v>36.17</v>
      </c>
      <c r="O14" s="219">
        <f t="shared" si="1"/>
        <v>33</v>
      </c>
      <c r="P14" s="231">
        <f t="shared" si="2"/>
        <v>15</v>
      </c>
      <c r="Q14" s="232"/>
      <c r="R14" s="219">
        <f t="shared" si="4"/>
        <v>10</v>
      </c>
      <c r="S14" s="233" t="str">
        <f t="shared" si="3"/>
        <v>Q131/295</v>
      </c>
    </row>
    <row r="15" spans="2:19">
      <c r="B15" s="224" t="s">
        <v>334</v>
      </c>
      <c r="C15" s="127">
        <v>5</v>
      </c>
      <c r="D15" s="127"/>
      <c r="E15" s="127">
        <v>2.15</v>
      </c>
      <c r="F15" s="234">
        <v>150</v>
      </c>
      <c r="G15" s="231">
        <v>150</v>
      </c>
      <c r="H15" s="235">
        <v>5.5</v>
      </c>
      <c r="I15" s="128"/>
      <c r="J15" s="236">
        <v>4.5</v>
      </c>
      <c r="K15" s="227">
        <f>VLOOKUP($H15,'ÇELİK HASIR-KESİT TABLOSU'!$B$8:$AA$30,HLOOKUP($F15,'ÇELİK HASIR-KESİT TABLOSU'!$B$5:$AA$8,3,FALSE)+3)*(IF(I15="d",2,1))</f>
        <v>1.58</v>
      </c>
      <c r="L15" s="228">
        <f>VLOOKUP($J15,'ÇELİK HASIR-KESİT TABLOSU'!$B$8:$AA$30,HLOOKUP($G15,'ÇELİK HASIR-KESİT TABLOSU'!$B$5:$AA$8,3,FALSE)+3)</f>
        <v>1.06</v>
      </c>
      <c r="M15" s="229">
        <f t="shared" si="0"/>
        <v>2.13</v>
      </c>
      <c r="N15" s="230">
        <f>ROUND((C15*P15*(VLOOKUP(H15,'ÇELİK HASIR-KESİT TABLOSU'!$B$8:$AA$30,2)))+(E15*O15*(VLOOKUP(J15,'ÇELİK HASIR-KESİT TABLOSU'!$B$8:$AA$30,2))),2)</f>
        <v>22.85</v>
      </c>
      <c r="O15" s="219">
        <f t="shared" si="1"/>
        <v>33</v>
      </c>
      <c r="P15" s="231">
        <f t="shared" si="2"/>
        <v>15</v>
      </c>
      <c r="Q15" s="232"/>
      <c r="R15" s="219">
        <f t="shared" si="4"/>
        <v>11</v>
      </c>
      <c r="S15" s="233" t="str">
        <f t="shared" si="3"/>
        <v>Q158/106</v>
      </c>
    </row>
    <row r="16" spans="2:19">
      <c r="B16" s="224" t="s">
        <v>335</v>
      </c>
      <c r="C16" s="127">
        <v>5</v>
      </c>
      <c r="D16" s="127"/>
      <c r="E16" s="127">
        <v>2.15</v>
      </c>
      <c r="F16" s="234">
        <v>150</v>
      </c>
      <c r="G16" s="231">
        <v>150</v>
      </c>
      <c r="H16" s="235">
        <v>5.5</v>
      </c>
      <c r="I16" s="128"/>
      <c r="J16" s="236">
        <v>5</v>
      </c>
      <c r="K16" s="227">
        <f>VLOOKUP($H16,'ÇELİK HASIR-KESİT TABLOSU'!$B$8:$AA$30,HLOOKUP($F16,'ÇELİK HASIR-KESİT TABLOSU'!$B$5:$AA$8,3,FALSE)+3)*(IF(I16="d",2,1))</f>
        <v>1.58</v>
      </c>
      <c r="L16" s="228">
        <f>VLOOKUP($J16,'ÇELİK HASIR-KESİT TABLOSU'!$B$8:$AA$30,HLOOKUP($G16,'ÇELİK HASIR-KESİT TABLOSU'!$B$5:$AA$8,3,FALSE)+3)</f>
        <v>1.31</v>
      </c>
      <c r="M16" s="229">
        <f t="shared" si="0"/>
        <v>2.3199999999999998</v>
      </c>
      <c r="N16" s="230">
        <f>ROUND((C16*P16*(VLOOKUP(H16,'ÇELİK HASIR-KESİT TABLOSU'!$B$8:$AA$30,2)))+(E16*O16*(VLOOKUP(J16,'ÇELİK HASIR-KESİT TABLOSU'!$B$8:$AA$30,2))),2)</f>
        <v>24.92</v>
      </c>
      <c r="O16" s="219">
        <f t="shared" si="1"/>
        <v>33</v>
      </c>
      <c r="P16" s="231">
        <f t="shared" si="2"/>
        <v>15</v>
      </c>
      <c r="Q16" s="232"/>
      <c r="R16" s="219">
        <f t="shared" si="4"/>
        <v>12</v>
      </c>
      <c r="S16" s="233" t="str">
        <f t="shared" si="3"/>
        <v>Q158/131</v>
      </c>
    </row>
    <row r="17" spans="2:19">
      <c r="B17" s="224" t="s">
        <v>336</v>
      </c>
      <c r="C17" s="127">
        <v>5</v>
      </c>
      <c r="D17" s="127"/>
      <c r="E17" s="127">
        <v>2.15</v>
      </c>
      <c r="F17" s="234">
        <v>150</v>
      </c>
      <c r="G17" s="231">
        <v>150</v>
      </c>
      <c r="H17" s="235">
        <v>5.5</v>
      </c>
      <c r="I17" s="128"/>
      <c r="J17" s="236">
        <v>5.5</v>
      </c>
      <c r="K17" s="227">
        <f>VLOOKUP($H17,'ÇELİK HASIR-KESİT TABLOSU'!$B$8:$AA$30,HLOOKUP($F17,'ÇELİK HASIR-KESİT TABLOSU'!$B$5:$AA$8,3,FALSE)+3)*(IF(I17="d",2,1))</f>
        <v>1.58</v>
      </c>
      <c r="L17" s="228">
        <f>VLOOKUP($J17,'ÇELİK HASIR-KESİT TABLOSU'!$B$8:$AA$30,HLOOKUP($G17,'ÇELİK HASIR-KESİT TABLOSU'!$B$5:$AA$8,3,FALSE)+3)</f>
        <v>1.58</v>
      </c>
      <c r="M17" s="229">
        <f t="shared" si="0"/>
        <v>2.5299999999999998</v>
      </c>
      <c r="N17" s="230">
        <f>ROUND((C17*P17*(VLOOKUP(H17,'ÇELİK HASIR-KESİT TABLOSU'!$B$8:$AA$30,2)))+(E17*O17*(VLOOKUP(J17,'ÇELİK HASIR-KESİT TABLOSU'!$B$8:$AA$30,2))),2)</f>
        <v>27.22</v>
      </c>
      <c r="O17" s="219">
        <f t="shared" si="1"/>
        <v>33</v>
      </c>
      <c r="P17" s="231">
        <f t="shared" si="2"/>
        <v>15</v>
      </c>
      <c r="Q17" s="232"/>
      <c r="R17" s="219">
        <f t="shared" si="4"/>
        <v>13</v>
      </c>
      <c r="S17" s="233" t="str">
        <f t="shared" si="3"/>
        <v>Q158/158</v>
      </c>
    </row>
    <row r="18" spans="2:19">
      <c r="B18" s="224" t="s">
        <v>337</v>
      </c>
      <c r="C18" s="127">
        <v>5</v>
      </c>
      <c r="D18" s="127"/>
      <c r="E18" s="127">
        <v>2.15</v>
      </c>
      <c r="F18" s="234">
        <v>150</v>
      </c>
      <c r="G18" s="231">
        <v>150</v>
      </c>
      <c r="H18" s="235">
        <v>5.5</v>
      </c>
      <c r="I18" s="128"/>
      <c r="J18" s="236">
        <v>6</v>
      </c>
      <c r="K18" s="227">
        <f>VLOOKUP($H18,'ÇELİK HASIR-KESİT TABLOSU'!$B$8:$AA$30,HLOOKUP($F18,'ÇELİK HASIR-KESİT TABLOSU'!$B$5:$AA$8,3,FALSE)+3)*(IF(I18="d",2,1))</f>
        <v>1.58</v>
      </c>
      <c r="L18" s="228">
        <f>VLOOKUP($J18,'ÇELİK HASIR-KESİT TABLOSU'!$B$8:$AA$30,HLOOKUP($G18,'ÇELİK HASIR-KESİT TABLOSU'!$B$5:$AA$8,3,FALSE)+3)</f>
        <v>1.88</v>
      </c>
      <c r="M18" s="229">
        <f t="shared" si="0"/>
        <v>2.77</v>
      </c>
      <c r="N18" s="230">
        <f>ROUND((C18*P18*(VLOOKUP(H18,'ÇELİK HASIR-KESİT TABLOSU'!$B$8:$AA$30,2)))+(E18*O18*(VLOOKUP(J18,'ÇELİK HASIR-KESİT TABLOSU'!$B$8:$AA$30,2))),2)</f>
        <v>29.74</v>
      </c>
      <c r="O18" s="219">
        <f t="shared" si="1"/>
        <v>33</v>
      </c>
      <c r="P18" s="231">
        <f t="shared" si="2"/>
        <v>15</v>
      </c>
      <c r="Q18" s="232"/>
      <c r="R18" s="219">
        <f t="shared" si="4"/>
        <v>14</v>
      </c>
      <c r="S18" s="233" t="str">
        <f t="shared" si="3"/>
        <v>Q158/188</v>
      </c>
    </row>
    <row r="19" spans="2:19">
      <c r="B19" s="224" t="s">
        <v>338</v>
      </c>
      <c r="C19" s="127">
        <v>5</v>
      </c>
      <c r="D19" s="127"/>
      <c r="E19" s="127">
        <v>2.15</v>
      </c>
      <c r="F19" s="234">
        <v>150</v>
      </c>
      <c r="G19" s="231">
        <v>150</v>
      </c>
      <c r="H19" s="235">
        <v>5.5</v>
      </c>
      <c r="I19" s="128"/>
      <c r="J19" s="236">
        <v>6.5</v>
      </c>
      <c r="K19" s="227">
        <f>VLOOKUP($H19,'ÇELİK HASIR-KESİT TABLOSU'!$B$8:$AA$30,HLOOKUP($F19,'ÇELİK HASIR-KESİT TABLOSU'!$B$5:$AA$8,3,FALSE)+3)*(IF(I19="d",2,1))</f>
        <v>1.58</v>
      </c>
      <c r="L19" s="228">
        <f>VLOOKUP($J19,'ÇELİK HASIR-KESİT TABLOSU'!$B$8:$AA$30,HLOOKUP($G19,'ÇELİK HASIR-KESİT TABLOSU'!$B$5:$AA$8,3,FALSE)+3)</f>
        <v>2.21</v>
      </c>
      <c r="M19" s="229">
        <f t="shared" si="0"/>
        <v>3.02</v>
      </c>
      <c r="N19" s="230">
        <f>ROUND((C19*P19*(VLOOKUP(H19,'ÇELİK HASIR-KESİT TABLOSU'!$B$8:$AA$30,2)))+(E19*O19*(VLOOKUP(J19,'ÇELİK HASIR-KESİT TABLOSU'!$B$8:$AA$30,2))),2)</f>
        <v>32.47</v>
      </c>
      <c r="O19" s="219">
        <f t="shared" si="1"/>
        <v>33</v>
      </c>
      <c r="P19" s="231">
        <f t="shared" si="2"/>
        <v>15</v>
      </c>
      <c r="Q19" s="232"/>
      <c r="R19" s="219">
        <f t="shared" si="4"/>
        <v>15</v>
      </c>
      <c r="S19" s="233" t="str">
        <f t="shared" si="3"/>
        <v>Q158/221</v>
      </c>
    </row>
    <row r="20" spans="2:19">
      <c r="B20" s="224" t="s">
        <v>339</v>
      </c>
      <c r="C20" s="127">
        <v>5</v>
      </c>
      <c r="D20" s="127"/>
      <c r="E20" s="127">
        <v>2.15</v>
      </c>
      <c r="F20" s="234">
        <v>150</v>
      </c>
      <c r="G20" s="231">
        <v>150</v>
      </c>
      <c r="H20" s="235">
        <v>5.5</v>
      </c>
      <c r="I20" s="128"/>
      <c r="J20" s="236">
        <v>7</v>
      </c>
      <c r="K20" s="227">
        <f>VLOOKUP($H20,'ÇELİK HASIR-KESİT TABLOSU'!$B$8:$AA$30,HLOOKUP($F20,'ÇELİK HASIR-KESİT TABLOSU'!$B$5:$AA$8,3,FALSE)+3)*(IF(I20="d",2,1))</f>
        <v>1.58</v>
      </c>
      <c r="L20" s="228">
        <f>VLOOKUP($J20,'ÇELİK HASIR-KESİT TABLOSU'!$B$8:$AA$30,HLOOKUP($G20,'ÇELİK HASIR-KESİT TABLOSU'!$B$5:$AA$8,3,FALSE)+3)</f>
        <v>2.57</v>
      </c>
      <c r="M20" s="229">
        <f t="shared" si="0"/>
        <v>3.29</v>
      </c>
      <c r="N20" s="230">
        <f>ROUND((C20*P20*(VLOOKUP(H20,'ÇELİK HASIR-KESİT TABLOSU'!$B$8:$AA$30,2)))+(E20*O20*(VLOOKUP(J20,'ÇELİK HASIR-KESİT TABLOSU'!$B$8:$AA$30,2))),2)</f>
        <v>35.42</v>
      </c>
      <c r="O20" s="219">
        <f t="shared" si="1"/>
        <v>33</v>
      </c>
      <c r="P20" s="231">
        <f t="shared" si="2"/>
        <v>15</v>
      </c>
      <c r="Q20" s="232"/>
      <c r="R20" s="219">
        <f t="shared" si="4"/>
        <v>16</v>
      </c>
      <c r="S20" s="233" t="str">
        <f t="shared" si="3"/>
        <v>Q158/257</v>
      </c>
    </row>
    <row r="21" spans="2:19">
      <c r="B21" s="224" t="s">
        <v>340</v>
      </c>
      <c r="C21" s="127">
        <v>5</v>
      </c>
      <c r="D21" s="127"/>
      <c r="E21" s="127">
        <v>2.15</v>
      </c>
      <c r="F21" s="234">
        <v>150</v>
      </c>
      <c r="G21" s="231">
        <v>150</v>
      </c>
      <c r="H21" s="235">
        <v>5.5</v>
      </c>
      <c r="I21" s="128"/>
      <c r="J21" s="236">
        <v>7.5</v>
      </c>
      <c r="K21" s="227">
        <f>VLOOKUP($H21,'ÇELİK HASIR-KESİT TABLOSU'!$B$8:$AA$30,HLOOKUP($F21,'ÇELİK HASIR-KESİT TABLOSU'!$B$5:$AA$8,3,FALSE)+3)*(IF(I21="d",2,1))</f>
        <v>1.58</v>
      </c>
      <c r="L21" s="228">
        <f>VLOOKUP($J21,'ÇELİK HASIR-KESİT TABLOSU'!$B$8:$AA$30,HLOOKUP($G21,'ÇELİK HASIR-KESİT TABLOSU'!$B$5:$AA$8,3,FALSE)+3)</f>
        <v>2.95</v>
      </c>
      <c r="M21" s="229">
        <f t="shared" si="0"/>
        <v>3.59</v>
      </c>
      <c r="N21" s="230">
        <f>ROUND((C21*P21*(VLOOKUP(H21,'ÇELİK HASIR-KESİT TABLOSU'!$B$8:$AA$30,2)))+(E21*O21*(VLOOKUP(J21,'ÇELİK HASIR-KESİT TABLOSU'!$B$8:$AA$30,2))),2)</f>
        <v>38.590000000000003</v>
      </c>
      <c r="O21" s="219">
        <f t="shared" si="1"/>
        <v>33</v>
      </c>
      <c r="P21" s="231">
        <f t="shared" si="2"/>
        <v>15</v>
      </c>
      <c r="Q21" s="232"/>
      <c r="R21" s="219">
        <f t="shared" si="4"/>
        <v>17</v>
      </c>
      <c r="S21" s="233" t="str">
        <f t="shared" si="3"/>
        <v>Q158/295</v>
      </c>
    </row>
    <row r="22" spans="2:19">
      <c r="B22" s="224" t="s">
        <v>341</v>
      </c>
      <c r="C22" s="127">
        <v>5</v>
      </c>
      <c r="D22" s="127"/>
      <c r="E22" s="127">
        <v>2.15</v>
      </c>
      <c r="F22" s="234">
        <v>150</v>
      </c>
      <c r="G22" s="231">
        <v>150</v>
      </c>
      <c r="H22" s="235">
        <v>6</v>
      </c>
      <c r="I22" s="128"/>
      <c r="J22" s="236">
        <v>5</v>
      </c>
      <c r="K22" s="227">
        <f>VLOOKUP($H22,'ÇELİK HASIR-KESİT TABLOSU'!$B$8:$AA$30,HLOOKUP($F22,'ÇELİK HASIR-KESİT TABLOSU'!$B$5:$AA$8,3,FALSE)+3)*(IF(I22="d",2,1))</f>
        <v>1.88</v>
      </c>
      <c r="L22" s="228">
        <f>VLOOKUP($J22,'ÇELİK HASIR-KESİT TABLOSU'!$B$8:$AA$30,HLOOKUP($G22,'ÇELİK HASIR-KESİT TABLOSU'!$B$5:$AA$8,3,FALSE)+3)</f>
        <v>1.31</v>
      </c>
      <c r="M22" s="229">
        <f t="shared" si="0"/>
        <v>2.57</v>
      </c>
      <c r="N22" s="230">
        <f>ROUND((C22*P22*(VLOOKUP(H22,'ÇELİK HASIR-KESİT TABLOSU'!$B$8:$AA$30,2)))+(E22*O22*(VLOOKUP(J22,'ÇELİK HASIR-KESİT TABLOSU'!$B$8:$AA$30,2))),2)</f>
        <v>27.58</v>
      </c>
      <c r="O22" s="219">
        <f t="shared" si="1"/>
        <v>33</v>
      </c>
      <c r="P22" s="231">
        <f t="shared" si="2"/>
        <v>15</v>
      </c>
      <c r="Q22" s="232"/>
      <c r="R22" s="219">
        <f t="shared" si="4"/>
        <v>18</v>
      </c>
      <c r="S22" s="233" t="str">
        <f t="shared" si="3"/>
        <v>Q188/131</v>
      </c>
    </row>
    <row r="23" spans="2:19">
      <c r="B23" s="224" t="s">
        <v>342</v>
      </c>
      <c r="C23" s="127">
        <v>5</v>
      </c>
      <c r="D23" s="127"/>
      <c r="E23" s="127">
        <v>2.15</v>
      </c>
      <c r="F23" s="234">
        <v>150</v>
      </c>
      <c r="G23" s="231">
        <v>150</v>
      </c>
      <c r="H23" s="235">
        <v>6</v>
      </c>
      <c r="I23" s="128"/>
      <c r="J23" s="236">
        <v>5.5</v>
      </c>
      <c r="K23" s="227">
        <f>VLOOKUP($H23,'ÇELİK HASIR-KESİT TABLOSU'!$B$8:$AA$30,HLOOKUP($F23,'ÇELİK HASIR-KESİT TABLOSU'!$B$5:$AA$8,3,FALSE)+3)*(IF(I23="d",2,1))</f>
        <v>1.88</v>
      </c>
      <c r="L23" s="228">
        <f>VLOOKUP($J23,'ÇELİK HASIR-KESİT TABLOSU'!$B$8:$AA$30,HLOOKUP($G23,'ÇELİK HASIR-KESİT TABLOSU'!$B$5:$AA$8,3,FALSE)+3)</f>
        <v>1.58</v>
      </c>
      <c r="M23" s="229">
        <f t="shared" si="0"/>
        <v>2.78</v>
      </c>
      <c r="N23" s="230">
        <f>ROUND((C23*P23*(VLOOKUP(H23,'ÇELİK HASIR-KESİT TABLOSU'!$B$8:$AA$30,2)))+(E23*O23*(VLOOKUP(J23,'ÇELİK HASIR-KESİT TABLOSU'!$B$8:$AA$30,2))),2)</f>
        <v>29.88</v>
      </c>
      <c r="O23" s="219">
        <f t="shared" si="1"/>
        <v>33</v>
      </c>
      <c r="P23" s="231">
        <f t="shared" si="2"/>
        <v>15</v>
      </c>
      <c r="Q23" s="232"/>
      <c r="R23" s="219">
        <f t="shared" si="4"/>
        <v>19</v>
      </c>
      <c r="S23" s="233" t="str">
        <f t="shared" si="3"/>
        <v>Q188/158</v>
      </c>
    </row>
    <row r="24" spans="2:19">
      <c r="B24" s="237" t="s">
        <v>343</v>
      </c>
      <c r="C24" s="130">
        <v>5</v>
      </c>
      <c r="D24" s="130"/>
      <c r="E24" s="130">
        <v>2.15</v>
      </c>
      <c r="F24" s="234">
        <v>150</v>
      </c>
      <c r="G24" s="231">
        <v>150</v>
      </c>
      <c r="H24" s="235">
        <v>6</v>
      </c>
      <c r="I24" s="128"/>
      <c r="J24" s="236">
        <v>6</v>
      </c>
      <c r="K24" s="238">
        <f>VLOOKUP($H24,'ÇELİK HASIR-KESİT TABLOSU'!$B$8:$AA$30,HLOOKUP($F24,'ÇELİK HASIR-KESİT TABLOSU'!$B$5:$AA$8,3,FALSE)+3)*(IF(I24="d",2,1))</f>
        <v>1.88</v>
      </c>
      <c r="L24" s="239">
        <f>VLOOKUP($J24,'ÇELİK HASIR-KESİT TABLOSU'!$B$8:$AA$30,HLOOKUP($G24,'ÇELİK HASIR-KESİT TABLOSU'!$B$5:$AA$8,3,FALSE)+3)</f>
        <v>1.88</v>
      </c>
      <c r="M24" s="229">
        <f t="shared" si="0"/>
        <v>3.01</v>
      </c>
      <c r="N24" s="230">
        <f>ROUND((C24*P24*(VLOOKUP(H24,'ÇELİK HASIR-KESİT TABLOSU'!$B$8:$AA$30,2)))+(E24*O24*(VLOOKUP(J24,'ÇELİK HASIR-KESİT TABLOSU'!$B$8:$AA$30,2))),2)</f>
        <v>32.39</v>
      </c>
      <c r="O24" s="234">
        <f t="shared" si="1"/>
        <v>33</v>
      </c>
      <c r="P24" s="231">
        <f t="shared" si="2"/>
        <v>15</v>
      </c>
      <c r="Q24" s="232"/>
      <c r="R24" s="219">
        <f t="shared" si="4"/>
        <v>20</v>
      </c>
      <c r="S24" s="233" t="str">
        <f t="shared" si="3"/>
        <v>Q188/188</v>
      </c>
    </row>
    <row r="25" spans="2:19">
      <c r="B25" s="237" t="s">
        <v>344</v>
      </c>
      <c r="C25" s="130">
        <v>5</v>
      </c>
      <c r="D25" s="130"/>
      <c r="E25" s="130">
        <v>2.15</v>
      </c>
      <c r="F25" s="234">
        <v>150</v>
      </c>
      <c r="G25" s="231">
        <v>150</v>
      </c>
      <c r="H25" s="235">
        <v>6</v>
      </c>
      <c r="I25" s="128"/>
      <c r="J25" s="236">
        <v>6.5</v>
      </c>
      <c r="K25" s="238">
        <f>VLOOKUP($H25,'ÇELİK HASIR-KESİT TABLOSU'!$B$8:$AA$30,HLOOKUP($F25,'ÇELİK HASIR-KESİT TABLOSU'!$B$5:$AA$8,3,FALSE)+3)*(IF(I25="d",2,1))</f>
        <v>1.88</v>
      </c>
      <c r="L25" s="239">
        <f>VLOOKUP($J25,'ÇELİK HASIR-KESİT TABLOSU'!$B$8:$AA$30,HLOOKUP($G25,'ÇELİK HASIR-KESİT TABLOSU'!$B$5:$AA$8,3,FALSE)+3)</f>
        <v>2.21</v>
      </c>
      <c r="M25" s="229">
        <f t="shared" si="0"/>
        <v>3.27</v>
      </c>
      <c r="N25" s="230">
        <f>ROUND((C25*P25*(VLOOKUP(H25,'ÇELİK HASIR-KESİT TABLOSU'!$B$8:$AA$30,2)))+(E25*O25*(VLOOKUP(J25,'ÇELİK HASIR-KESİT TABLOSU'!$B$8:$AA$30,2))),2)</f>
        <v>35.130000000000003</v>
      </c>
      <c r="O25" s="234">
        <f t="shared" si="1"/>
        <v>33</v>
      </c>
      <c r="P25" s="231">
        <f t="shared" si="2"/>
        <v>15</v>
      </c>
      <c r="Q25" s="232"/>
      <c r="R25" s="219">
        <f t="shared" si="4"/>
        <v>21</v>
      </c>
      <c r="S25" s="233" t="str">
        <f t="shared" si="3"/>
        <v>Q188/221</v>
      </c>
    </row>
    <row r="26" spans="2:19">
      <c r="B26" s="224" t="s">
        <v>345</v>
      </c>
      <c r="C26" s="127">
        <v>5</v>
      </c>
      <c r="D26" s="127"/>
      <c r="E26" s="127">
        <v>2.15</v>
      </c>
      <c r="F26" s="234">
        <v>150</v>
      </c>
      <c r="G26" s="231">
        <v>150</v>
      </c>
      <c r="H26" s="235">
        <v>6</v>
      </c>
      <c r="I26" s="128"/>
      <c r="J26" s="236">
        <v>7</v>
      </c>
      <c r="K26" s="227">
        <f>VLOOKUP($H26,'ÇELİK HASIR-KESİT TABLOSU'!$B$8:$AA$30,HLOOKUP($F26,'ÇELİK HASIR-KESİT TABLOSU'!$B$5:$AA$8,3,FALSE)+3)*(IF(I26="d",2,1))</f>
        <v>1.88</v>
      </c>
      <c r="L26" s="228">
        <f>VLOOKUP($J26,'ÇELİK HASIR-KESİT TABLOSU'!$B$8:$AA$30,HLOOKUP($G26,'ÇELİK HASIR-KESİT TABLOSU'!$B$5:$AA$8,3,FALSE)+3)</f>
        <v>2.57</v>
      </c>
      <c r="M26" s="229">
        <f t="shared" si="0"/>
        <v>3.54</v>
      </c>
      <c r="N26" s="230">
        <f>ROUND((C26*P26*(VLOOKUP(H26,'ÇELİK HASIR-KESİT TABLOSU'!$B$8:$AA$30,2)))+(E26*O26*(VLOOKUP(J26,'ÇELİK HASIR-KESİT TABLOSU'!$B$8:$AA$30,2))),2)</f>
        <v>38.08</v>
      </c>
      <c r="O26" s="219">
        <f t="shared" si="1"/>
        <v>33</v>
      </c>
      <c r="P26" s="231">
        <f t="shared" si="2"/>
        <v>15</v>
      </c>
      <c r="Q26" s="232"/>
      <c r="R26" s="219">
        <f t="shared" si="4"/>
        <v>22</v>
      </c>
      <c r="S26" s="233" t="str">
        <f t="shared" si="3"/>
        <v>Q188/257</v>
      </c>
    </row>
    <row r="27" spans="2:19">
      <c r="B27" s="224" t="s">
        <v>346</v>
      </c>
      <c r="C27" s="127">
        <v>5</v>
      </c>
      <c r="D27" s="127"/>
      <c r="E27" s="127">
        <v>2.15</v>
      </c>
      <c r="F27" s="234">
        <v>150</v>
      </c>
      <c r="G27" s="231">
        <v>150</v>
      </c>
      <c r="H27" s="235">
        <v>6</v>
      </c>
      <c r="I27" s="128"/>
      <c r="J27" s="236">
        <v>7.5</v>
      </c>
      <c r="K27" s="227">
        <f>VLOOKUP($H27,'ÇELİK HASIR-KESİT TABLOSU'!$B$8:$AA$30,HLOOKUP($F27,'ÇELİK HASIR-KESİT TABLOSU'!$B$5:$AA$8,3,FALSE)+3)*(IF(I27="d",2,1))</f>
        <v>1.88</v>
      </c>
      <c r="L27" s="228">
        <f>VLOOKUP($J27,'ÇELİK HASIR-KESİT TABLOSU'!$B$8:$AA$30,HLOOKUP($G27,'ÇELİK HASIR-KESİT TABLOSU'!$B$5:$AA$8,3,FALSE)+3)</f>
        <v>2.95</v>
      </c>
      <c r="M27" s="229">
        <f t="shared" si="0"/>
        <v>3.84</v>
      </c>
      <c r="N27" s="230">
        <f>ROUND((C27*P27*(VLOOKUP(H27,'ÇELİK HASIR-KESİT TABLOSU'!$B$8:$AA$30,2)))+(E27*O27*(VLOOKUP(J27,'ÇELİK HASIR-KESİT TABLOSU'!$B$8:$AA$30,2))),2)</f>
        <v>41.25</v>
      </c>
      <c r="O27" s="219">
        <f t="shared" si="1"/>
        <v>33</v>
      </c>
      <c r="P27" s="231">
        <f t="shared" si="2"/>
        <v>15</v>
      </c>
      <c r="Q27" s="232"/>
      <c r="R27" s="219">
        <f t="shared" si="4"/>
        <v>23</v>
      </c>
      <c r="S27" s="233" t="str">
        <f t="shared" si="3"/>
        <v>Q188/295</v>
      </c>
    </row>
    <row r="28" spans="2:19">
      <c r="B28" s="224" t="s">
        <v>347</v>
      </c>
      <c r="C28" s="127">
        <v>5</v>
      </c>
      <c r="D28" s="127"/>
      <c r="E28" s="127">
        <v>2.15</v>
      </c>
      <c r="F28" s="234">
        <v>150</v>
      </c>
      <c r="G28" s="231">
        <v>150</v>
      </c>
      <c r="H28" s="235">
        <v>6.5</v>
      </c>
      <c r="I28" s="128"/>
      <c r="J28" s="236">
        <v>5.5</v>
      </c>
      <c r="K28" s="227">
        <f>VLOOKUP($H28,'ÇELİK HASIR-KESİT TABLOSU'!$B$8:$AA$30,HLOOKUP($F28,'ÇELİK HASIR-KESİT TABLOSU'!$B$5:$AA$8,3,FALSE)+3)*(IF(I28="d",2,1))</f>
        <v>2.21</v>
      </c>
      <c r="L28" s="228">
        <f>VLOOKUP($J28,'ÇELİK HASIR-KESİT TABLOSU'!$B$8:$AA$30,HLOOKUP($G28,'ÇELİK HASIR-KESİT TABLOSU'!$B$5:$AA$8,3,FALSE)+3)</f>
        <v>1.58</v>
      </c>
      <c r="M28" s="229">
        <f t="shared" si="0"/>
        <v>3.05</v>
      </c>
      <c r="N28" s="230">
        <f>ROUND((C28*P28*(VLOOKUP(H28,'ÇELİK HASIR-KESİT TABLOSU'!$B$8:$AA$30,2)))+(E28*O28*(VLOOKUP(J28,'ÇELİK HASIR-KESİT TABLOSU'!$B$8:$AA$30,2))),2)</f>
        <v>32.770000000000003</v>
      </c>
      <c r="O28" s="219">
        <f t="shared" si="1"/>
        <v>33</v>
      </c>
      <c r="P28" s="231">
        <f t="shared" si="2"/>
        <v>15</v>
      </c>
      <c r="Q28" s="232"/>
      <c r="R28" s="219">
        <f t="shared" si="4"/>
        <v>24</v>
      </c>
      <c r="S28" s="233" t="str">
        <f t="shared" si="3"/>
        <v>Q221/158</v>
      </c>
    </row>
    <row r="29" spans="2:19">
      <c r="B29" s="224" t="s">
        <v>348</v>
      </c>
      <c r="C29" s="127">
        <v>5</v>
      </c>
      <c r="D29" s="127"/>
      <c r="E29" s="127">
        <v>2.15</v>
      </c>
      <c r="F29" s="234">
        <v>150</v>
      </c>
      <c r="G29" s="231">
        <v>150</v>
      </c>
      <c r="H29" s="235">
        <v>6.5</v>
      </c>
      <c r="I29" s="128"/>
      <c r="J29" s="236">
        <v>6</v>
      </c>
      <c r="K29" s="227">
        <f>VLOOKUP($H29,'ÇELİK HASIR-KESİT TABLOSU'!$B$8:$AA$30,HLOOKUP($F29,'ÇELİK HASIR-KESİT TABLOSU'!$B$5:$AA$8,3,FALSE)+3)*(IF(I29="d",2,1))</f>
        <v>2.21</v>
      </c>
      <c r="L29" s="228">
        <f>VLOOKUP($J29,'ÇELİK HASIR-KESİT TABLOSU'!$B$8:$AA$30,HLOOKUP($G29,'ÇELİK HASIR-KESİT TABLOSU'!$B$5:$AA$8,3,FALSE)+3)</f>
        <v>1.88</v>
      </c>
      <c r="M29" s="229">
        <f t="shared" si="0"/>
        <v>3.28</v>
      </c>
      <c r="N29" s="230">
        <f>ROUND((C29*P29*(VLOOKUP(H29,'ÇELİK HASIR-KESİT TABLOSU'!$B$8:$AA$30,2)))+(E29*O29*(VLOOKUP(J29,'ÇELİK HASIR-KESİT TABLOSU'!$B$8:$AA$30,2))),2)</f>
        <v>35.28</v>
      </c>
      <c r="O29" s="219">
        <f t="shared" si="1"/>
        <v>33</v>
      </c>
      <c r="P29" s="231">
        <f t="shared" si="2"/>
        <v>15</v>
      </c>
      <c r="Q29" s="232"/>
      <c r="R29" s="219">
        <f t="shared" si="4"/>
        <v>25</v>
      </c>
      <c r="S29" s="233" t="str">
        <f t="shared" si="3"/>
        <v>Q221/188</v>
      </c>
    </row>
    <row r="30" spans="2:19">
      <c r="B30" s="224" t="s">
        <v>349</v>
      </c>
      <c r="C30" s="127">
        <v>5</v>
      </c>
      <c r="D30" s="127"/>
      <c r="E30" s="127">
        <v>2.15</v>
      </c>
      <c r="F30" s="234">
        <v>150</v>
      </c>
      <c r="G30" s="231">
        <v>150</v>
      </c>
      <c r="H30" s="235">
        <v>6.5</v>
      </c>
      <c r="I30" s="128"/>
      <c r="J30" s="236">
        <v>6.5</v>
      </c>
      <c r="K30" s="227">
        <f>VLOOKUP($H30,'ÇELİK HASIR-KESİT TABLOSU'!$B$8:$AA$30,HLOOKUP($F30,'ÇELİK HASIR-KESİT TABLOSU'!$B$5:$AA$8,3,FALSE)+3)*(IF(I30="d",2,1))</f>
        <v>2.21</v>
      </c>
      <c r="L30" s="228">
        <f>VLOOKUP($J30,'ÇELİK HASIR-KESİT TABLOSU'!$B$8:$AA$30,HLOOKUP($G30,'ÇELİK HASIR-KESİT TABLOSU'!$B$5:$AA$8,3,FALSE)+3)</f>
        <v>2.21</v>
      </c>
      <c r="M30" s="229">
        <f t="shared" si="0"/>
        <v>3.54</v>
      </c>
      <c r="N30" s="230">
        <f>ROUND((C30*P30*(VLOOKUP(H30,'ÇELİK HASIR-KESİT TABLOSU'!$B$8:$AA$30,2)))+(E30*O30*(VLOOKUP(J30,'ÇELİK HASIR-KESİT TABLOSU'!$B$8:$AA$30,2))),2)</f>
        <v>38.020000000000003</v>
      </c>
      <c r="O30" s="219">
        <f t="shared" si="1"/>
        <v>33</v>
      </c>
      <c r="P30" s="231">
        <f t="shared" si="2"/>
        <v>15</v>
      </c>
      <c r="Q30" s="232"/>
      <c r="R30" s="219">
        <f t="shared" si="4"/>
        <v>26</v>
      </c>
      <c r="S30" s="233" t="str">
        <f t="shared" si="3"/>
        <v>Q221/221</v>
      </c>
    </row>
    <row r="31" spans="2:19">
      <c r="B31" s="224" t="s">
        <v>350</v>
      </c>
      <c r="C31" s="127">
        <v>5</v>
      </c>
      <c r="D31" s="127"/>
      <c r="E31" s="127">
        <v>2.15</v>
      </c>
      <c r="F31" s="234">
        <v>150</v>
      </c>
      <c r="G31" s="231">
        <v>150</v>
      </c>
      <c r="H31" s="235">
        <v>6.5</v>
      </c>
      <c r="I31" s="128"/>
      <c r="J31" s="236">
        <v>7</v>
      </c>
      <c r="K31" s="227">
        <f>VLOOKUP($H31,'ÇELİK HASIR-KESİT TABLOSU'!$B$8:$AA$30,HLOOKUP($F31,'ÇELİK HASIR-KESİT TABLOSU'!$B$5:$AA$8,3,FALSE)+3)*(IF(I31="d",2,1))</f>
        <v>2.21</v>
      </c>
      <c r="L31" s="228">
        <f>VLOOKUP($J31,'ÇELİK HASIR-KESİT TABLOSU'!$B$8:$AA$30,HLOOKUP($G31,'ÇELİK HASIR-KESİT TABLOSU'!$B$5:$AA$8,3,FALSE)+3)</f>
        <v>2.57</v>
      </c>
      <c r="M31" s="229">
        <f t="shared" si="0"/>
        <v>3.81</v>
      </c>
      <c r="N31" s="230">
        <f>ROUND((C31*P31*(VLOOKUP(H31,'ÇELİK HASIR-KESİT TABLOSU'!$B$8:$AA$30,2)))+(E31*O31*(VLOOKUP(J31,'ÇELİK HASIR-KESİT TABLOSU'!$B$8:$AA$30,2))),2)</f>
        <v>40.97</v>
      </c>
      <c r="O31" s="219">
        <f t="shared" si="1"/>
        <v>33</v>
      </c>
      <c r="P31" s="231">
        <f t="shared" si="2"/>
        <v>15</v>
      </c>
      <c r="Q31" s="232"/>
      <c r="R31" s="219">
        <f t="shared" si="4"/>
        <v>27</v>
      </c>
      <c r="S31" s="233" t="str">
        <f t="shared" si="3"/>
        <v>Q221/257</v>
      </c>
    </row>
    <row r="32" spans="2:19">
      <c r="B32" s="224" t="s">
        <v>351</v>
      </c>
      <c r="C32" s="127">
        <v>5</v>
      </c>
      <c r="D32" s="127"/>
      <c r="E32" s="127">
        <v>2.15</v>
      </c>
      <c r="F32" s="234">
        <v>150</v>
      </c>
      <c r="G32" s="231">
        <v>150</v>
      </c>
      <c r="H32" s="235">
        <v>6.5</v>
      </c>
      <c r="I32" s="128"/>
      <c r="J32" s="236">
        <v>7.5</v>
      </c>
      <c r="K32" s="227">
        <f>VLOOKUP($H32,'ÇELİK HASIR-KESİT TABLOSU'!$B$8:$AA$30,HLOOKUP($F32,'ÇELİK HASIR-KESİT TABLOSU'!$B$5:$AA$8,3,FALSE)+3)*(IF(I32="d",2,1))</f>
        <v>2.21</v>
      </c>
      <c r="L32" s="228">
        <f>VLOOKUP($J32,'ÇELİK HASIR-KESİT TABLOSU'!$B$8:$AA$30,HLOOKUP($G32,'ÇELİK HASIR-KESİT TABLOSU'!$B$5:$AA$8,3,FALSE)+3)</f>
        <v>2.95</v>
      </c>
      <c r="M32" s="229">
        <f t="shared" si="0"/>
        <v>4.1100000000000003</v>
      </c>
      <c r="N32" s="230">
        <f>ROUND((C32*P32*(VLOOKUP(H32,'ÇELİK HASIR-KESİT TABLOSU'!$B$8:$AA$30,2)))+(E32*O32*(VLOOKUP(J32,'ÇELİK HASIR-KESİT TABLOSU'!$B$8:$AA$30,2))),2)</f>
        <v>44.14</v>
      </c>
      <c r="O32" s="219">
        <f t="shared" si="1"/>
        <v>33</v>
      </c>
      <c r="P32" s="231">
        <f t="shared" si="2"/>
        <v>15</v>
      </c>
      <c r="Q32" s="232"/>
      <c r="R32" s="219">
        <f t="shared" si="4"/>
        <v>28</v>
      </c>
      <c r="S32" s="233" t="str">
        <f t="shared" si="3"/>
        <v>Q221/295</v>
      </c>
    </row>
    <row r="33" spans="2:19">
      <c r="B33" s="224" t="s">
        <v>352</v>
      </c>
      <c r="C33" s="127">
        <v>5</v>
      </c>
      <c r="D33" s="127"/>
      <c r="E33" s="127">
        <v>2.15</v>
      </c>
      <c r="F33" s="234">
        <v>150</v>
      </c>
      <c r="G33" s="231">
        <v>150</v>
      </c>
      <c r="H33" s="235">
        <v>7</v>
      </c>
      <c r="I33" s="128"/>
      <c r="J33" s="236">
        <v>5</v>
      </c>
      <c r="K33" s="227">
        <f>VLOOKUP($H33,'ÇELİK HASIR-KESİT TABLOSU'!$B$8:$AA$30,HLOOKUP($F33,'ÇELİK HASIR-KESİT TABLOSU'!$B$5:$AA$8,3,FALSE)+3)*(IF(I33="d",2,1))</f>
        <v>2.57</v>
      </c>
      <c r="L33" s="228">
        <f>VLOOKUP($J33,'ÇELİK HASIR-KESİT TABLOSU'!$B$8:$AA$30,HLOOKUP($G33,'ÇELİK HASIR-KESİT TABLOSU'!$B$5:$AA$8,3,FALSE)+3)</f>
        <v>1.31</v>
      </c>
      <c r="M33" s="229">
        <f t="shared" si="0"/>
        <v>3.12</v>
      </c>
      <c r="N33" s="230">
        <f>ROUND((C33*P33*(VLOOKUP(H33,'ÇELİK HASIR-KESİT TABLOSU'!$B$8:$AA$30,2)))+(E33*O33*(VLOOKUP(J33,'ÇELİK HASIR-KESİT TABLOSU'!$B$8:$AA$30,2))),2)</f>
        <v>33.590000000000003</v>
      </c>
      <c r="O33" s="219">
        <f t="shared" si="1"/>
        <v>33</v>
      </c>
      <c r="P33" s="231">
        <f t="shared" si="2"/>
        <v>15</v>
      </c>
      <c r="Q33" s="232"/>
      <c r="R33" s="219">
        <f t="shared" si="4"/>
        <v>29</v>
      </c>
      <c r="S33" s="233" t="str">
        <f t="shared" si="3"/>
        <v>Q257/131</v>
      </c>
    </row>
    <row r="34" spans="2:19">
      <c r="B34" s="224" t="s">
        <v>353</v>
      </c>
      <c r="C34" s="127">
        <v>5</v>
      </c>
      <c r="D34" s="127"/>
      <c r="E34" s="127">
        <v>2.15</v>
      </c>
      <c r="F34" s="234">
        <v>150</v>
      </c>
      <c r="G34" s="231">
        <v>150</v>
      </c>
      <c r="H34" s="235">
        <v>7</v>
      </c>
      <c r="I34" s="128"/>
      <c r="J34" s="236">
        <v>5.5</v>
      </c>
      <c r="K34" s="227">
        <f>VLOOKUP($H34,'ÇELİK HASIR-KESİT TABLOSU'!$B$8:$AA$30,HLOOKUP($F34,'ÇELİK HASIR-KESİT TABLOSU'!$B$5:$AA$8,3,FALSE)+3)*(IF(I34="d",2,1))</f>
        <v>2.57</v>
      </c>
      <c r="L34" s="228">
        <f>VLOOKUP($J34,'ÇELİK HASIR-KESİT TABLOSU'!$B$8:$AA$30,HLOOKUP($G34,'ÇELİK HASIR-KESİT TABLOSU'!$B$5:$AA$8,3,FALSE)+3)</f>
        <v>1.58</v>
      </c>
      <c r="M34" s="229">
        <f t="shared" si="0"/>
        <v>3.34</v>
      </c>
      <c r="N34" s="230">
        <f>ROUND((C34*P34*(VLOOKUP(H34,'ÇELİK HASIR-KESİT TABLOSU'!$B$8:$AA$30,2)))+(E34*O34*(VLOOKUP(J34,'ÇELİK HASIR-KESİT TABLOSU'!$B$8:$AA$30,2))),2)</f>
        <v>35.89</v>
      </c>
      <c r="O34" s="219">
        <f t="shared" si="1"/>
        <v>33</v>
      </c>
      <c r="P34" s="231">
        <f t="shared" si="2"/>
        <v>15</v>
      </c>
      <c r="Q34" s="232"/>
      <c r="R34" s="219">
        <f t="shared" si="4"/>
        <v>30</v>
      </c>
      <c r="S34" s="233" t="str">
        <f t="shared" si="3"/>
        <v>Q257/158</v>
      </c>
    </row>
    <row r="35" spans="2:19">
      <c r="B35" s="224" t="s">
        <v>354</v>
      </c>
      <c r="C35" s="127">
        <v>5</v>
      </c>
      <c r="D35" s="127"/>
      <c r="E35" s="127">
        <v>2.15</v>
      </c>
      <c r="F35" s="234">
        <v>150</v>
      </c>
      <c r="G35" s="231">
        <v>150</v>
      </c>
      <c r="H35" s="235">
        <v>7</v>
      </c>
      <c r="I35" s="128"/>
      <c r="J35" s="236">
        <v>6</v>
      </c>
      <c r="K35" s="227">
        <f>VLOOKUP($H35,'ÇELİK HASIR-KESİT TABLOSU'!$B$8:$AA$30,HLOOKUP($F35,'ÇELİK HASIR-KESİT TABLOSU'!$B$5:$AA$8,3,FALSE)+3)*(IF(I35="d",2,1))</f>
        <v>2.57</v>
      </c>
      <c r="L35" s="228">
        <f>VLOOKUP($J35,'ÇELİK HASIR-KESİT TABLOSU'!$B$8:$AA$30,HLOOKUP($G35,'ÇELİK HASIR-KESİT TABLOSU'!$B$5:$AA$8,3,FALSE)+3)</f>
        <v>1.88</v>
      </c>
      <c r="M35" s="229">
        <f t="shared" si="0"/>
        <v>3.57</v>
      </c>
      <c r="N35" s="230">
        <f>ROUND((C35*P35*(VLOOKUP(H35,'ÇELİK HASIR-KESİT TABLOSU'!$B$8:$AA$30,2)))+(E35*O35*(VLOOKUP(J35,'ÇELİK HASIR-KESİT TABLOSU'!$B$8:$AA$30,2))),2)</f>
        <v>38.409999999999997</v>
      </c>
      <c r="O35" s="219">
        <f t="shared" si="1"/>
        <v>33</v>
      </c>
      <c r="P35" s="231">
        <f t="shared" si="2"/>
        <v>15</v>
      </c>
      <c r="Q35" s="232"/>
      <c r="R35" s="219">
        <f t="shared" si="4"/>
        <v>31</v>
      </c>
      <c r="S35" s="233" t="str">
        <f t="shared" si="3"/>
        <v>Q257/188</v>
      </c>
    </row>
    <row r="36" spans="2:19">
      <c r="B36" s="224" t="s">
        <v>355</v>
      </c>
      <c r="C36" s="127">
        <v>5</v>
      </c>
      <c r="D36" s="127"/>
      <c r="E36" s="127">
        <v>2.15</v>
      </c>
      <c r="F36" s="234">
        <v>150</v>
      </c>
      <c r="G36" s="231">
        <v>150</v>
      </c>
      <c r="H36" s="235">
        <v>7</v>
      </c>
      <c r="I36" s="128"/>
      <c r="J36" s="236">
        <v>6.5</v>
      </c>
      <c r="K36" s="227">
        <f>VLOOKUP($H36,'ÇELİK HASIR-KESİT TABLOSU'!$B$8:$AA$30,HLOOKUP($F36,'ÇELİK HASIR-KESİT TABLOSU'!$B$5:$AA$8,3,FALSE)+3)*(IF(I36="d",2,1))</f>
        <v>2.57</v>
      </c>
      <c r="L36" s="228">
        <f>VLOOKUP($J36,'ÇELİK HASIR-KESİT TABLOSU'!$B$8:$AA$30,HLOOKUP($G36,'ÇELİK HASIR-KESİT TABLOSU'!$B$5:$AA$8,3,FALSE)+3)</f>
        <v>2.21</v>
      </c>
      <c r="M36" s="229">
        <f t="shared" si="0"/>
        <v>3.83</v>
      </c>
      <c r="N36" s="230">
        <f>ROUND((C36*P36*(VLOOKUP(H36,'ÇELİK HASIR-KESİT TABLOSU'!$B$8:$AA$30,2)))+(E36*O36*(VLOOKUP(J36,'ÇELİK HASIR-KESİT TABLOSU'!$B$8:$AA$30,2))),2)</f>
        <v>41.14</v>
      </c>
      <c r="O36" s="219">
        <f t="shared" si="1"/>
        <v>33</v>
      </c>
      <c r="P36" s="231">
        <f t="shared" si="2"/>
        <v>15</v>
      </c>
      <c r="Q36" s="232"/>
      <c r="R36" s="219">
        <f t="shared" si="4"/>
        <v>32</v>
      </c>
      <c r="S36" s="233" t="str">
        <f t="shared" si="3"/>
        <v>Q257/221</v>
      </c>
    </row>
    <row r="37" spans="2:19">
      <c r="B37" s="224" t="s">
        <v>356</v>
      </c>
      <c r="C37" s="127">
        <v>5</v>
      </c>
      <c r="D37" s="127"/>
      <c r="E37" s="127">
        <v>2.15</v>
      </c>
      <c r="F37" s="234">
        <v>150</v>
      </c>
      <c r="G37" s="231">
        <v>150</v>
      </c>
      <c r="H37" s="235">
        <v>7</v>
      </c>
      <c r="I37" s="128"/>
      <c r="J37" s="236">
        <v>7</v>
      </c>
      <c r="K37" s="227">
        <f>VLOOKUP($H37,'ÇELİK HASIR-KESİT TABLOSU'!$B$8:$AA$30,HLOOKUP($F37,'ÇELİK HASIR-KESİT TABLOSU'!$B$5:$AA$8,3,FALSE)+3)*(IF(I37="d",2,1))</f>
        <v>2.57</v>
      </c>
      <c r="L37" s="228">
        <f>VLOOKUP($J37,'ÇELİK HASIR-KESİT TABLOSU'!$B$8:$AA$30,HLOOKUP($G37,'ÇELİK HASIR-KESİT TABLOSU'!$B$5:$AA$8,3,FALSE)+3)</f>
        <v>2.57</v>
      </c>
      <c r="M37" s="229">
        <f t="shared" si="0"/>
        <v>4.0999999999999996</v>
      </c>
      <c r="N37" s="230">
        <f>ROUND((C37*P37*(VLOOKUP(H37,'ÇELİK HASIR-KESİT TABLOSU'!$B$8:$AA$30,2)))+(E37*O37*(VLOOKUP(J37,'ÇELİK HASIR-KESİT TABLOSU'!$B$8:$AA$30,2))),2)</f>
        <v>44.09</v>
      </c>
      <c r="O37" s="219">
        <f t="shared" si="1"/>
        <v>33</v>
      </c>
      <c r="P37" s="231">
        <f t="shared" si="2"/>
        <v>15</v>
      </c>
      <c r="Q37" s="232"/>
      <c r="R37" s="219">
        <f t="shared" si="4"/>
        <v>33</v>
      </c>
      <c r="S37" s="233" t="str">
        <f t="shared" si="3"/>
        <v>Q257/257</v>
      </c>
    </row>
    <row r="38" spans="2:19">
      <c r="B38" s="224" t="s">
        <v>357</v>
      </c>
      <c r="C38" s="127">
        <v>5</v>
      </c>
      <c r="D38" s="127"/>
      <c r="E38" s="127">
        <v>2.15</v>
      </c>
      <c r="F38" s="234">
        <v>150</v>
      </c>
      <c r="G38" s="231">
        <v>150</v>
      </c>
      <c r="H38" s="235">
        <v>7</v>
      </c>
      <c r="I38" s="128"/>
      <c r="J38" s="236">
        <v>7.5</v>
      </c>
      <c r="K38" s="227">
        <f>VLOOKUP($H38,'ÇELİK HASIR-KESİT TABLOSU'!$B$8:$AA$30,HLOOKUP($F38,'ÇELİK HASIR-KESİT TABLOSU'!$B$5:$AA$8,3,FALSE)+3)*(IF(I38="d",2,1))</f>
        <v>2.57</v>
      </c>
      <c r="L38" s="228">
        <f>VLOOKUP($J38,'ÇELİK HASIR-KESİT TABLOSU'!$B$8:$AA$30,HLOOKUP($G38,'ÇELİK HASIR-KESİT TABLOSU'!$B$5:$AA$8,3,FALSE)+3)</f>
        <v>2.95</v>
      </c>
      <c r="M38" s="229">
        <f t="shared" si="0"/>
        <v>4.4000000000000004</v>
      </c>
      <c r="N38" s="230">
        <f>ROUND((C38*P38*(VLOOKUP(H38,'ÇELİK HASIR-KESİT TABLOSU'!$B$8:$AA$30,2)))+(E38*O38*(VLOOKUP(J38,'ÇELİK HASIR-KESİT TABLOSU'!$B$8:$AA$30,2))),2)</f>
        <v>47.26</v>
      </c>
      <c r="O38" s="219">
        <f t="shared" si="1"/>
        <v>33</v>
      </c>
      <c r="P38" s="231">
        <f t="shared" si="2"/>
        <v>15</v>
      </c>
      <c r="Q38" s="232"/>
      <c r="R38" s="219">
        <f t="shared" si="4"/>
        <v>34</v>
      </c>
      <c r="S38" s="233" t="str">
        <f t="shared" si="3"/>
        <v>Q257/295</v>
      </c>
    </row>
    <row r="39" spans="2:19">
      <c r="B39" s="224" t="s">
        <v>358</v>
      </c>
      <c r="C39" s="127">
        <v>5</v>
      </c>
      <c r="D39" s="127"/>
      <c r="E39" s="127">
        <v>2.15</v>
      </c>
      <c r="F39" s="234">
        <v>150</v>
      </c>
      <c r="G39" s="231">
        <v>150</v>
      </c>
      <c r="H39" s="235">
        <v>7.5</v>
      </c>
      <c r="I39" s="128"/>
      <c r="J39" s="236">
        <v>5</v>
      </c>
      <c r="K39" s="227">
        <f>VLOOKUP($H39,'ÇELİK HASIR-KESİT TABLOSU'!$B$8:$AA$30,HLOOKUP($F39,'ÇELİK HASIR-KESİT TABLOSU'!$B$5:$AA$8,3,FALSE)+3)*(IF(I39="d",2,1))</f>
        <v>2.95</v>
      </c>
      <c r="L39" s="228">
        <f>VLOOKUP($J39,'ÇELİK HASIR-KESİT TABLOSU'!$B$8:$AA$30,HLOOKUP($G39,'ÇELİK HASIR-KESİT TABLOSU'!$B$5:$AA$8,3,FALSE)+3)</f>
        <v>1.31</v>
      </c>
      <c r="M39" s="229">
        <f t="shared" si="0"/>
        <v>3.44</v>
      </c>
      <c r="N39" s="230">
        <f>ROUND((C39*P39*(VLOOKUP(H39,'ÇELİK HASIR-KESİT TABLOSU'!$B$8:$AA$30,2)))+(E39*O39*(VLOOKUP(J39,'ÇELİK HASIR-KESİT TABLOSU'!$B$8:$AA$30,2))),2)</f>
        <v>36.950000000000003</v>
      </c>
      <c r="O39" s="219">
        <f t="shared" si="1"/>
        <v>33</v>
      </c>
      <c r="P39" s="231">
        <f t="shared" si="2"/>
        <v>15</v>
      </c>
      <c r="Q39" s="232"/>
      <c r="R39" s="219">
        <f t="shared" si="4"/>
        <v>35</v>
      </c>
      <c r="S39" s="233" t="str">
        <f t="shared" si="3"/>
        <v>Q295/131</v>
      </c>
    </row>
    <row r="40" spans="2:19">
      <c r="B40" s="224" t="s">
        <v>359</v>
      </c>
      <c r="C40" s="127">
        <v>5</v>
      </c>
      <c r="D40" s="127"/>
      <c r="E40" s="127">
        <v>2.15</v>
      </c>
      <c r="F40" s="234">
        <v>150</v>
      </c>
      <c r="G40" s="231">
        <v>150</v>
      </c>
      <c r="H40" s="235">
        <v>7.5</v>
      </c>
      <c r="I40" s="128"/>
      <c r="J40" s="236">
        <v>5.5</v>
      </c>
      <c r="K40" s="227">
        <f>VLOOKUP($H40,'ÇELİK HASIR-KESİT TABLOSU'!$B$8:$AA$30,HLOOKUP($F40,'ÇELİK HASIR-KESİT TABLOSU'!$B$5:$AA$8,3,FALSE)+3)*(IF(I40="d",2,1))</f>
        <v>2.95</v>
      </c>
      <c r="L40" s="228">
        <f>VLOOKUP($J40,'ÇELİK HASIR-KESİT TABLOSU'!$B$8:$AA$30,HLOOKUP($G40,'ÇELİK HASIR-KESİT TABLOSU'!$B$5:$AA$8,3,FALSE)+3)</f>
        <v>1.58</v>
      </c>
      <c r="M40" s="229">
        <f t="shared" si="0"/>
        <v>3.65</v>
      </c>
      <c r="N40" s="230">
        <f>ROUND((C40*P40*(VLOOKUP(H40,'ÇELİK HASIR-KESİT TABLOSU'!$B$8:$AA$30,2)))+(E40*O40*(VLOOKUP(J40,'ÇELİK HASIR-KESİT TABLOSU'!$B$8:$AA$30,2))),2)</f>
        <v>39.24</v>
      </c>
      <c r="O40" s="219">
        <f t="shared" si="1"/>
        <v>33</v>
      </c>
      <c r="P40" s="231">
        <f t="shared" si="2"/>
        <v>15</v>
      </c>
      <c r="Q40" s="232"/>
      <c r="R40" s="219">
        <f t="shared" si="4"/>
        <v>36</v>
      </c>
      <c r="S40" s="233" t="str">
        <f t="shared" si="3"/>
        <v>Q295/158</v>
      </c>
    </row>
    <row r="41" spans="2:19">
      <c r="B41" s="224" t="s">
        <v>360</v>
      </c>
      <c r="C41" s="127">
        <v>5</v>
      </c>
      <c r="D41" s="127"/>
      <c r="E41" s="127">
        <v>2.15</v>
      </c>
      <c r="F41" s="234">
        <v>150</v>
      </c>
      <c r="G41" s="231">
        <v>150</v>
      </c>
      <c r="H41" s="235">
        <v>7.5</v>
      </c>
      <c r="I41" s="128"/>
      <c r="J41" s="236">
        <v>6</v>
      </c>
      <c r="K41" s="227">
        <f>VLOOKUP($H41,'ÇELİK HASIR-KESİT TABLOSU'!$B$8:$AA$30,HLOOKUP($F41,'ÇELİK HASIR-KESİT TABLOSU'!$B$5:$AA$8,3,FALSE)+3)*(IF(I41="d",2,1))</f>
        <v>2.95</v>
      </c>
      <c r="L41" s="228">
        <f>VLOOKUP($J41,'ÇELİK HASIR-KESİT TABLOSU'!$B$8:$AA$30,HLOOKUP($G41,'ÇELİK HASIR-KESİT TABLOSU'!$B$5:$AA$8,3,FALSE)+3)</f>
        <v>1.88</v>
      </c>
      <c r="M41" s="229">
        <f t="shared" si="0"/>
        <v>3.88</v>
      </c>
      <c r="N41" s="230">
        <f>ROUND((C41*P41*(VLOOKUP(H41,'ÇELİK HASIR-KESİT TABLOSU'!$B$8:$AA$30,2)))+(E41*O41*(VLOOKUP(J41,'ÇELİK HASIR-KESİT TABLOSU'!$B$8:$AA$30,2))),2)</f>
        <v>41.76</v>
      </c>
      <c r="O41" s="219">
        <f t="shared" si="1"/>
        <v>33</v>
      </c>
      <c r="P41" s="231">
        <f t="shared" si="2"/>
        <v>15</v>
      </c>
      <c r="Q41" s="232"/>
      <c r="R41" s="219">
        <f t="shared" si="4"/>
        <v>37</v>
      </c>
      <c r="S41" s="233" t="str">
        <f t="shared" si="3"/>
        <v>Q295/188</v>
      </c>
    </row>
    <row r="42" spans="2:19">
      <c r="B42" s="224" t="s">
        <v>361</v>
      </c>
      <c r="C42" s="127">
        <v>5</v>
      </c>
      <c r="D42" s="127"/>
      <c r="E42" s="127">
        <v>2.15</v>
      </c>
      <c r="F42" s="234">
        <v>150</v>
      </c>
      <c r="G42" s="231">
        <v>150</v>
      </c>
      <c r="H42" s="235">
        <v>7.5</v>
      </c>
      <c r="I42" s="128"/>
      <c r="J42" s="236">
        <v>6.5</v>
      </c>
      <c r="K42" s="227">
        <f>VLOOKUP($H42,'ÇELİK HASIR-KESİT TABLOSU'!$B$8:$AA$30,HLOOKUP($F42,'ÇELİK HASIR-KESİT TABLOSU'!$B$5:$AA$8,3,FALSE)+3)*(IF(I42="d",2,1))</f>
        <v>2.95</v>
      </c>
      <c r="L42" s="228">
        <f>VLOOKUP($J42,'ÇELİK HASIR-KESİT TABLOSU'!$B$8:$AA$30,HLOOKUP($G42,'ÇELİK HASIR-KESİT TABLOSU'!$B$5:$AA$8,3,FALSE)+3)</f>
        <v>2.21</v>
      </c>
      <c r="M42" s="229">
        <f t="shared" si="0"/>
        <v>4.1399999999999997</v>
      </c>
      <c r="N42" s="230">
        <f>ROUND((C42*P42*(VLOOKUP(H42,'ÇELİK HASIR-KESİT TABLOSU'!$B$8:$AA$30,2)))+(E42*O42*(VLOOKUP(J42,'ÇELİK HASIR-KESİT TABLOSU'!$B$8:$AA$30,2))),2)</f>
        <v>44.49</v>
      </c>
      <c r="O42" s="219">
        <f t="shared" si="1"/>
        <v>33</v>
      </c>
      <c r="P42" s="231">
        <f t="shared" si="2"/>
        <v>15</v>
      </c>
      <c r="Q42" s="232"/>
      <c r="R42" s="219">
        <f t="shared" si="4"/>
        <v>38</v>
      </c>
      <c r="S42" s="233" t="str">
        <f t="shared" si="3"/>
        <v>Q295/221</v>
      </c>
    </row>
    <row r="43" spans="2:19">
      <c r="B43" s="224" t="s">
        <v>362</v>
      </c>
      <c r="C43" s="127">
        <v>5</v>
      </c>
      <c r="D43" s="127"/>
      <c r="E43" s="127">
        <v>2.15</v>
      </c>
      <c r="F43" s="234">
        <v>150</v>
      </c>
      <c r="G43" s="231">
        <v>150</v>
      </c>
      <c r="H43" s="235">
        <v>7.5</v>
      </c>
      <c r="I43" s="128"/>
      <c r="J43" s="236">
        <v>7</v>
      </c>
      <c r="K43" s="227">
        <f>VLOOKUP($H43,'ÇELİK HASIR-KESİT TABLOSU'!$B$8:$AA$30,HLOOKUP($F43,'ÇELİK HASIR-KESİT TABLOSU'!$B$5:$AA$8,3,FALSE)+3)*(IF(I43="d",2,1))</f>
        <v>2.95</v>
      </c>
      <c r="L43" s="228">
        <f>VLOOKUP($J43,'ÇELİK HASIR-KESİT TABLOSU'!$B$8:$AA$30,HLOOKUP($G43,'ÇELİK HASIR-KESİT TABLOSU'!$B$5:$AA$8,3,FALSE)+3)</f>
        <v>2.57</v>
      </c>
      <c r="M43" s="229">
        <f t="shared" si="0"/>
        <v>4.41</v>
      </c>
      <c r="N43" s="230">
        <f>ROUND((C43*P43*(VLOOKUP(H43,'ÇELİK HASIR-KESİT TABLOSU'!$B$8:$AA$30,2)))+(E43*O43*(VLOOKUP(J43,'ÇELİK HASIR-KESİT TABLOSU'!$B$8:$AA$30,2))),2)</f>
        <v>47.44</v>
      </c>
      <c r="O43" s="219">
        <f t="shared" si="1"/>
        <v>33</v>
      </c>
      <c r="P43" s="231">
        <f t="shared" si="2"/>
        <v>15</v>
      </c>
      <c r="Q43" s="232"/>
      <c r="R43" s="219">
        <f t="shared" si="4"/>
        <v>39</v>
      </c>
      <c r="S43" s="233" t="str">
        <f t="shared" si="3"/>
        <v>Q295/257</v>
      </c>
    </row>
    <row r="44" spans="2:19">
      <c r="B44" s="224" t="s">
        <v>363</v>
      </c>
      <c r="C44" s="127">
        <v>5</v>
      </c>
      <c r="D44" s="127"/>
      <c r="E44" s="127">
        <v>2.15</v>
      </c>
      <c r="F44" s="234">
        <v>150</v>
      </c>
      <c r="G44" s="231">
        <v>150</v>
      </c>
      <c r="H44" s="235">
        <v>7.5</v>
      </c>
      <c r="I44" s="128"/>
      <c r="J44" s="236">
        <v>7.5</v>
      </c>
      <c r="K44" s="227">
        <f>VLOOKUP($H44,'ÇELİK HASIR-KESİT TABLOSU'!$B$8:$AA$30,HLOOKUP($F44,'ÇELİK HASIR-KESİT TABLOSU'!$B$5:$AA$8,3,FALSE)+3)*(IF(I44="d",2,1))</f>
        <v>2.95</v>
      </c>
      <c r="L44" s="228">
        <f>VLOOKUP($J44,'ÇELİK HASIR-KESİT TABLOSU'!$B$8:$AA$30,HLOOKUP($G44,'ÇELİK HASIR-KESİT TABLOSU'!$B$5:$AA$8,3,FALSE)+3)</f>
        <v>2.95</v>
      </c>
      <c r="M44" s="229">
        <f t="shared" si="0"/>
        <v>4.71</v>
      </c>
      <c r="N44" s="230">
        <f>ROUND((C44*P44*(VLOOKUP(H44,'ÇELİK HASIR-KESİT TABLOSU'!$B$8:$AA$30,2)))+(E44*O44*(VLOOKUP(J44,'ÇELİK HASIR-KESİT TABLOSU'!$B$8:$AA$30,2))),2)</f>
        <v>50.62</v>
      </c>
      <c r="O44" s="219">
        <f t="shared" si="1"/>
        <v>33</v>
      </c>
      <c r="P44" s="231">
        <f t="shared" si="2"/>
        <v>15</v>
      </c>
      <c r="Q44" s="232"/>
      <c r="R44" s="219">
        <f t="shared" si="4"/>
        <v>40</v>
      </c>
      <c r="S44" s="233" t="str">
        <f t="shared" si="3"/>
        <v>Q295/295</v>
      </c>
    </row>
    <row r="45" spans="2:19">
      <c r="B45" s="224" t="s">
        <v>364</v>
      </c>
      <c r="C45" s="127">
        <v>5</v>
      </c>
      <c r="D45" s="127"/>
      <c r="E45" s="127">
        <v>2.15</v>
      </c>
      <c r="F45" s="234">
        <v>150</v>
      </c>
      <c r="G45" s="231">
        <v>150</v>
      </c>
      <c r="H45" s="235">
        <v>5.5</v>
      </c>
      <c r="I45" s="128" t="s">
        <v>365</v>
      </c>
      <c r="J45" s="236">
        <v>5</v>
      </c>
      <c r="K45" s="227">
        <f>VLOOKUP($H45,'ÇELİK HASIR-KESİT TABLOSU'!$B$8:$AA$30,HLOOKUP($F45,'ÇELİK HASIR-KESİT TABLOSU'!$B$5:$AA$8,3,FALSE)+3)*(IF(I45="d",2,1))</f>
        <v>3.16</v>
      </c>
      <c r="L45" s="228">
        <f>VLOOKUP($J45,'ÇELİK HASIR-KESİT TABLOSU'!$B$8:$AA$30,HLOOKUP($G45,'ÇELİK HASIR-KESİT TABLOSU'!$B$5:$AA$8,3,FALSE)+3)</f>
        <v>1.31</v>
      </c>
      <c r="M45" s="229">
        <f t="shared" si="0"/>
        <v>2.93</v>
      </c>
      <c r="N45" s="230">
        <f>ROUND((C45*P45*(VLOOKUP(H45,'ÇELİK HASIR-KESİT TABLOSU'!$B$8:$AA$30,2)))+(E45*O45*(VLOOKUP(J45,'ÇELİK HASIR-KESİT TABLOSU'!$B$8:$AA$30,2))),2)</f>
        <v>31.45</v>
      </c>
      <c r="O45" s="219">
        <f t="shared" si="1"/>
        <v>33</v>
      </c>
      <c r="P45" s="231">
        <f t="shared" si="2"/>
        <v>22</v>
      </c>
      <c r="Q45" s="232"/>
      <c r="R45" s="219">
        <f t="shared" si="4"/>
        <v>41</v>
      </c>
      <c r="S45" s="233" t="str">
        <f t="shared" si="3"/>
        <v>Q317/131</v>
      </c>
    </row>
    <row r="46" spans="2:19">
      <c r="B46" s="224" t="s">
        <v>366</v>
      </c>
      <c r="C46" s="127">
        <v>5</v>
      </c>
      <c r="D46" s="127"/>
      <c r="E46" s="127">
        <v>2.15</v>
      </c>
      <c r="F46" s="234">
        <v>150</v>
      </c>
      <c r="G46" s="231">
        <v>150</v>
      </c>
      <c r="H46" s="235">
        <v>5.5</v>
      </c>
      <c r="I46" s="128" t="s">
        <v>365</v>
      </c>
      <c r="J46" s="236">
        <v>5.5</v>
      </c>
      <c r="K46" s="227">
        <f>VLOOKUP($H46,'ÇELİK HASIR-KESİT TABLOSU'!$B$8:$AA$30,HLOOKUP($F46,'ÇELİK HASIR-KESİT TABLOSU'!$B$5:$AA$8,3,FALSE)+3)*(IF(I46="d",2,1))</f>
        <v>3.16</v>
      </c>
      <c r="L46" s="228">
        <f>VLOOKUP($J46,'ÇELİK HASIR-KESİT TABLOSU'!$B$8:$AA$30,HLOOKUP($G46,'ÇELİK HASIR-KESİT TABLOSU'!$B$5:$AA$8,3,FALSE)+3)</f>
        <v>1.58</v>
      </c>
      <c r="M46" s="229">
        <f t="shared" si="0"/>
        <v>3.14</v>
      </c>
      <c r="N46" s="230">
        <f>ROUND((C46*P46*(VLOOKUP(H46,'ÇELİK HASIR-KESİT TABLOSU'!$B$8:$AA$30,2)))+(E46*O46*(VLOOKUP(J46,'ÇELİK HASIR-KESİT TABLOSU'!$B$8:$AA$30,2))),2)</f>
        <v>33.75</v>
      </c>
      <c r="O46" s="219">
        <f t="shared" si="1"/>
        <v>33</v>
      </c>
      <c r="P46" s="231">
        <f t="shared" si="2"/>
        <v>22</v>
      </c>
      <c r="Q46" s="232"/>
      <c r="R46" s="219">
        <f t="shared" si="4"/>
        <v>42</v>
      </c>
      <c r="S46" s="233" t="str">
        <f t="shared" si="3"/>
        <v>Q317/158</v>
      </c>
    </row>
    <row r="47" spans="2:19">
      <c r="B47" s="224" t="s">
        <v>367</v>
      </c>
      <c r="C47" s="127">
        <v>5</v>
      </c>
      <c r="D47" s="127"/>
      <c r="E47" s="127">
        <v>2.15</v>
      </c>
      <c r="F47" s="234">
        <v>150</v>
      </c>
      <c r="G47" s="231">
        <v>150</v>
      </c>
      <c r="H47" s="235">
        <v>5.5</v>
      </c>
      <c r="I47" s="128" t="s">
        <v>365</v>
      </c>
      <c r="J47" s="236">
        <v>6</v>
      </c>
      <c r="K47" s="227">
        <f>VLOOKUP($H47,'ÇELİK HASIR-KESİT TABLOSU'!$B$8:$AA$30,HLOOKUP($F47,'ÇELİK HASIR-KESİT TABLOSU'!$B$5:$AA$8,3,FALSE)+3)*(IF(I47="d",2,1))</f>
        <v>3.16</v>
      </c>
      <c r="L47" s="228">
        <f>VLOOKUP($J47,'ÇELİK HASIR-KESİT TABLOSU'!$B$8:$AA$30,HLOOKUP($G47,'ÇELİK HASIR-KESİT TABLOSU'!$B$5:$AA$8,3,FALSE)+3)</f>
        <v>1.88</v>
      </c>
      <c r="M47" s="229">
        <f t="shared" si="0"/>
        <v>3.37</v>
      </c>
      <c r="N47" s="230">
        <f>ROUND((C47*P47*(VLOOKUP(H47,'ÇELİK HASIR-KESİT TABLOSU'!$B$8:$AA$30,2)))+(E47*O47*(VLOOKUP(J47,'ÇELİK HASIR-KESİT TABLOSU'!$B$8:$AA$30,2))),2)</f>
        <v>36.26</v>
      </c>
      <c r="O47" s="219">
        <f t="shared" si="1"/>
        <v>33</v>
      </c>
      <c r="P47" s="231">
        <f t="shared" si="2"/>
        <v>22</v>
      </c>
      <c r="Q47" s="232"/>
      <c r="R47" s="219">
        <f t="shared" si="4"/>
        <v>43</v>
      </c>
      <c r="S47" s="233" t="str">
        <f t="shared" si="3"/>
        <v>Q317/188</v>
      </c>
    </row>
    <row r="48" spans="2:19">
      <c r="B48" s="237" t="s">
        <v>368</v>
      </c>
      <c r="C48" s="130">
        <v>5</v>
      </c>
      <c r="D48" s="127"/>
      <c r="E48" s="130">
        <v>2.15</v>
      </c>
      <c r="F48" s="234">
        <v>150</v>
      </c>
      <c r="G48" s="231">
        <v>150</v>
      </c>
      <c r="H48" s="235">
        <v>5.5</v>
      </c>
      <c r="I48" s="128" t="s">
        <v>365</v>
      </c>
      <c r="J48" s="236">
        <v>6.5</v>
      </c>
      <c r="K48" s="238">
        <f>VLOOKUP($H48,'ÇELİK HASIR-KESİT TABLOSU'!$B$8:$AA$30,HLOOKUP($F48,'ÇELİK HASIR-KESİT TABLOSU'!$B$5:$AA$8,3,FALSE)+3)*(IF(I48="d",2,1))</f>
        <v>3.16</v>
      </c>
      <c r="L48" s="239">
        <f>VLOOKUP($J48,'ÇELİK HASIR-KESİT TABLOSU'!$B$8:$AA$30,HLOOKUP($G48,'ÇELİK HASIR-KESİT TABLOSU'!$B$5:$AA$8,3,FALSE)+3)</f>
        <v>2.21</v>
      </c>
      <c r="M48" s="229">
        <f t="shared" si="0"/>
        <v>3.63</v>
      </c>
      <c r="N48" s="230">
        <f>ROUND((C48*P48*(VLOOKUP(H48,'ÇELİK HASIR-KESİT TABLOSU'!$B$8:$AA$30,2)))+(E48*O48*(VLOOKUP(J48,'ÇELİK HASIR-KESİT TABLOSU'!$B$8:$AA$30,2))),2)</f>
        <v>39</v>
      </c>
      <c r="O48" s="234">
        <f t="shared" si="1"/>
        <v>33</v>
      </c>
      <c r="P48" s="231">
        <f t="shared" si="2"/>
        <v>22</v>
      </c>
      <c r="Q48" s="232"/>
      <c r="R48" s="219">
        <f t="shared" si="4"/>
        <v>44</v>
      </c>
      <c r="S48" s="233" t="str">
        <f t="shared" si="3"/>
        <v>Q317/221</v>
      </c>
    </row>
    <row r="49" spans="2:19">
      <c r="B49" s="237" t="s">
        <v>369</v>
      </c>
      <c r="C49" s="130">
        <v>5</v>
      </c>
      <c r="D49" s="127"/>
      <c r="E49" s="130">
        <v>2.15</v>
      </c>
      <c r="F49" s="234">
        <v>150</v>
      </c>
      <c r="G49" s="231">
        <v>150</v>
      </c>
      <c r="H49" s="235">
        <v>5.5</v>
      </c>
      <c r="I49" s="128" t="s">
        <v>365</v>
      </c>
      <c r="J49" s="236">
        <v>7</v>
      </c>
      <c r="K49" s="238">
        <f>VLOOKUP($H49,'ÇELİK HASIR-KESİT TABLOSU'!$B$8:$AA$30,HLOOKUP($F49,'ÇELİK HASIR-KESİT TABLOSU'!$B$5:$AA$8,3,FALSE)+3)*(IF(I49="d",2,1))</f>
        <v>3.16</v>
      </c>
      <c r="L49" s="239">
        <f>VLOOKUP($J49,'ÇELİK HASIR-KESİT TABLOSU'!$B$8:$AA$30,HLOOKUP($G49,'ÇELİK HASIR-KESİT TABLOSU'!$B$5:$AA$8,3,FALSE)+3)</f>
        <v>2.57</v>
      </c>
      <c r="M49" s="229">
        <f t="shared" si="0"/>
        <v>3.9</v>
      </c>
      <c r="N49" s="230">
        <f>ROUND((C49*P49*(VLOOKUP(H49,'ÇELİK HASIR-KESİT TABLOSU'!$B$8:$AA$30,2)))+(E49*O49*(VLOOKUP(J49,'ÇELİK HASIR-KESİT TABLOSU'!$B$8:$AA$30,2))),2)</f>
        <v>41.95</v>
      </c>
      <c r="O49" s="234">
        <f t="shared" si="1"/>
        <v>33</v>
      </c>
      <c r="P49" s="231">
        <f t="shared" si="2"/>
        <v>22</v>
      </c>
      <c r="Q49" s="232"/>
      <c r="R49" s="219">
        <f t="shared" si="4"/>
        <v>45</v>
      </c>
      <c r="S49" s="233" t="str">
        <f t="shared" si="3"/>
        <v>Q317/257</v>
      </c>
    </row>
    <row r="50" spans="2:19">
      <c r="B50" s="237" t="s">
        <v>370</v>
      </c>
      <c r="C50" s="130">
        <v>5</v>
      </c>
      <c r="D50" s="127"/>
      <c r="E50" s="130">
        <v>2.15</v>
      </c>
      <c r="F50" s="234">
        <v>150</v>
      </c>
      <c r="G50" s="231">
        <v>150</v>
      </c>
      <c r="H50" s="235">
        <v>5.5</v>
      </c>
      <c r="I50" s="128" t="s">
        <v>365</v>
      </c>
      <c r="J50" s="236">
        <v>7.5</v>
      </c>
      <c r="K50" s="238">
        <f>VLOOKUP($H50,'ÇELİK HASIR-KESİT TABLOSU'!$B$8:$AA$30,HLOOKUP($F50,'ÇELİK HASIR-KESİT TABLOSU'!$B$5:$AA$8,3,FALSE)+3)*(IF(I50="d",2,1))</f>
        <v>3.16</v>
      </c>
      <c r="L50" s="239">
        <f>VLOOKUP($J50,'ÇELİK HASIR-KESİT TABLOSU'!$B$8:$AA$30,HLOOKUP($G50,'ÇELİK HASIR-KESİT TABLOSU'!$B$5:$AA$8,3,FALSE)+3)</f>
        <v>2.95</v>
      </c>
      <c r="M50" s="229">
        <f t="shared" si="0"/>
        <v>4.2</v>
      </c>
      <c r="N50" s="230">
        <f>ROUND((C50*P50*(VLOOKUP(H50,'ÇELİK HASIR-KESİT TABLOSU'!$B$8:$AA$30,2)))+(E50*O50*(VLOOKUP(J50,'ÇELİK HASIR-KESİT TABLOSU'!$B$8:$AA$30,2))),2)</f>
        <v>45.12</v>
      </c>
      <c r="O50" s="234">
        <f t="shared" si="1"/>
        <v>33</v>
      </c>
      <c r="P50" s="231">
        <f t="shared" si="2"/>
        <v>22</v>
      </c>
      <c r="Q50" s="232"/>
      <c r="R50" s="219">
        <f t="shared" si="4"/>
        <v>46</v>
      </c>
      <c r="S50" s="233" t="str">
        <f t="shared" si="3"/>
        <v>Q317/295</v>
      </c>
    </row>
    <row r="51" spans="2:19">
      <c r="B51" s="237" t="s">
        <v>371</v>
      </c>
      <c r="C51" s="130">
        <v>5</v>
      </c>
      <c r="D51" s="127"/>
      <c r="E51" s="130">
        <v>2.15</v>
      </c>
      <c r="F51" s="234">
        <v>150</v>
      </c>
      <c r="G51" s="231">
        <v>150</v>
      </c>
      <c r="H51" s="235">
        <v>6</v>
      </c>
      <c r="I51" s="128" t="s">
        <v>365</v>
      </c>
      <c r="J51" s="236">
        <v>5</v>
      </c>
      <c r="K51" s="238">
        <f>VLOOKUP($H51,'ÇELİK HASIR-KESİT TABLOSU'!$B$8:$AA$30,HLOOKUP($F51,'ÇELİK HASIR-KESİT TABLOSU'!$B$5:$AA$8,3,FALSE)+3)*(IF(I51="d",2,1))</f>
        <v>3.76</v>
      </c>
      <c r="L51" s="239">
        <f>VLOOKUP($J51,'ÇELİK HASIR-KESİT TABLOSU'!$B$8:$AA$30,HLOOKUP($G51,'ÇELİK HASIR-KESİT TABLOSU'!$B$5:$AA$8,3,FALSE)+3)</f>
        <v>1.31</v>
      </c>
      <c r="M51" s="229">
        <f t="shared" si="0"/>
        <v>3.29</v>
      </c>
      <c r="N51" s="230">
        <f>ROUND((C51*P51*(VLOOKUP(H51,'ÇELİK HASIR-KESİT TABLOSU'!$B$8:$AA$30,2)))+(E51*O51*(VLOOKUP(J51,'ÇELİK HASIR-KESİT TABLOSU'!$B$8:$AA$30,2))),2)</f>
        <v>35.35</v>
      </c>
      <c r="O51" s="219">
        <f t="shared" si="1"/>
        <v>33</v>
      </c>
      <c r="P51" s="231">
        <f t="shared" si="2"/>
        <v>22</v>
      </c>
      <c r="Q51" s="232"/>
      <c r="R51" s="219">
        <f t="shared" si="4"/>
        <v>47</v>
      </c>
      <c r="S51" s="233" t="str">
        <f t="shared" si="3"/>
        <v>Q377/131</v>
      </c>
    </row>
    <row r="52" spans="2:19">
      <c r="B52" s="237" t="s">
        <v>372</v>
      </c>
      <c r="C52" s="130">
        <v>5</v>
      </c>
      <c r="D52" s="127"/>
      <c r="E52" s="130">
        <v>2.15</v>
      </c>
      <c r="F52" s="234">
        <v>150</v>
      </c>
      <c r="G52" s="231">
        <v>150</v>
      </c>
      <c r="H52" s="235">
        <v>6</v>
      </c>
      <c r="I52" s="128" t="s">
        <v>365</v>
      </c>
      <c r="J52" s="236">
        <v>5.5</v>
      </c>
      <c r="K52" s="238">
        <f>VLOOKUP($H52,'ÇELİK HASIR-KESİT TABLOSU'!$B$8:$AA$30,HLOOKUP($F52,'ÇELİK HASIR-KESİT TABLOSU'!$B$5:$AA$8,3,FALSE)+3)*(IF(I52="d",2,1))</f>
        <v>3.76</v>
      </c>
      <c r="L52" s="239">
        <f>VLOOKUP($J52,'ÇELİK HASIR-KESİT TABLOSU'!$B$8:$AA$30,HLOOKUP($G52,'ÇELİK HASIR-KESİT TABLOSU'!$B$5:$AA$8,3,FALSE)+3)</f>
        <v>1.58</v>
      </c>
      <c r="M52" s="229">
        <f t="shared" si="0"/>
        <v>3.5</v>
      </c>
      <c r="N52" s="230">
        <f>ROUND((C52*P52*(VLOOKUP(H52,'ÇELİK HASIR-KESİT TABLOSU'!$B$8:$AA$30,2)))+(E52*O52*(VLOOKUP(J52,'ÇELİK HASIR-KESİT TABLOSU'!$B$8:$AA$30,2))),2)</f>
        <v>37.65</v>
      </c>
      <c r="O52" s="219">
        <f t="shared" si="1"/>
        <v>33</v>
      </c>
      <c r="P52" s="231">
        <f t="shared" si="2"/>
        <v>22</v>
      </c>
      <c r="Q52" s="232"/>
      <c r="R52" s="219">
        <f t="shared" si="4"/>
        <v>48</v>
      </c>
      <c r="S52" s="233" t="str">
        <f t="shared" si="3"/>
        <v>Q377/158</v>
      </c>
    </row>
    <row r="53" spans="2:19">
      <c r="B53" s="237" t="s">
        <v>373</v>
      </c>
      <c r="C53" s="130">
        <v>5</v>
      </c>
      <c r="D53" s="127"/>
      <c r="E53" s="130">
        <v>2.15</v>
      </c>
      <c r="F53" s="234">
        <v>150</v>
      </c>
      <c r="G53" s="231">
        <v>150</v>
      </c>
      <c r="H53" s="235">
        <v>6</v>
      </c>
      <c r="I53" s="128" t="s">
        <v>365</v>
      </c>
      <c r="J53" s="236">
        <v>6</v>
      </c>
      <c r="K53" s="238">
        <f>VLOOKUP($H53,'ÇELİK HASIR-KESİT TABLOSU'!$B$8:$AA$30,HLOOKUP($F53,'ÇELİK HASIR-KESİT TABLOSU'!$B$5:$AA$8,3,FALSE)+3)*(IF(I53="d",2,1))</f>
        <v>3.76</v>
      </c>
      <c r="L53" s="239">
        <f>VLOOKUP($J53,'ÇELİK HASIR-KESİT TABLOSU'!$B$8:$AA$30,HLOOKUP($G53,'ÇELİK HASIR-KESİT TABLOSU'!$B$5:$AA$8,3,FALSE)+3)</f>
        <v>1.88</v>
      </c>
      <c r="M53" s="229">
        <f t="shared" si="0"/>
        <v>3.74</v>
      </c>
      <c r="N53" s="230">
        <f>ROUND((C53*P53*(VLOOKUP(H53,'ÇELİK HASIR-KESİT TABLOSU'!$B$8:$AA$30,2)))+(E53*O53*(VLOOKUP(J53,'ÇELİK HASIR-KESİT TABLOSU'!$B$8:$AA$30,2))),2)</f>
        <v>40.159999999999997</v>
      </c>
      <c r="O53" s="219">
        <f t="shared" si="1"/>
        <v>33</v>
      </c>
      <c r="P53" s="231">
        <f t="shared" si="2"/>
        <v>22</v>
      </c>
      <c r="Q53" s="232"/>
      <c r="R53" s="219">
        <f t="shared" si="4"/>
        <v>49</v>
      </c>
      <c r="S53" s="233" t="str">
        <f t="shared" si="3"/>
        <v>Q377/188</v>
      </c>
    </row>
    <row r="54" spans="2:19">
      <c r="B54" s="237" t="s">
        <v>374</v>
      </c>
      <c r="C54" s="130">
        <v>5</v>
      </c>
      <c r="D54" s="127"/>
      <c r="E54" s="130">
        <v>2.15</v>
      </c>
      <c r="F54" s="234">
        <v>150</v>
      </c>
      <c r="G54" s="231">
        <v>150</v>
      </c>
      <c r="H54" s="235">
        <v>6</v>
      </c>
      <c r="I54" s="128" t="s">
        <v>365</v>
      </c>
      <c r="J54" s="236">
        <v>6.5</v>
      </c>
      <c r="K54" s="238">
        <f>VLOOKUP($H54,'ÇELİK HASIR-KESİT TABLOSU'!$B$8:$AA$30,HLOOKUP($F54,'ÇELİK HASIR-KESİT TABLOSU'!$B$5:$AA$8,3,FALSE)+3)*(IF(I54="d",2,1))</f>
        <v>3.76</v>
      </c>
      <c r="L54" s="239">
        <f>VLOOKUP($J54,'ÇELİK HASIR-KESİT TABLOSU'!$B$8:$AA$30,HLOOKUP($G54,'ÇELİK HASIR-KESİT TABLOSU'!$B$5:$AA$8,3,FALSE)+3)</f>
        <v>2.21</v>
      </c>
      <c r="M54" s="229">
        <f t="shared" si="0"/>
        <v>3.99</v>
      </c>
      <c r="N54" s="230">
        <f>ROUND((C54*P54*(VLOOKUP(H54,'ÇELİK HASIR-KESİT TABLOSU'!$B$8:$AA$30,2)))+(E54*O54*(VLOOKUP(J54,'ÇELİK HASIR-KESİT TABLOSU'!$B$8:$AA$30,2))),2)</f>
        <v>42.9</v>
      </c>
      <c r="O54" s="219">
        <f t="shared" si="1"/>
        <v>33</v>
      </c>
      <c r="P54" s="231">
        <f t="shared" si="2"/>
        <v>22</v>
      </c>
      <c r="Q54" s="232"/>
      <c r="R54" s="219">
        <f t="shared" si="4"/>
        <v>50</v>
      </c>
      <c r="S54" s="233" t="str">
        <f t="shared" si="3"/>
        <v>Q377/221</v>
      </c>
    </row>
    <row r="55" spans="2:19">
      <c r="B55" s="237" t="s">
        <v>375</v>
      </c>
      <c r="C55" s="130">
        <v>5</v>
      </c>
      <c r="D55" s="127"/>
      <c r="E55" s="130">
        <v>2.15</v>
      </c>
      <c r="F55" s="234">
        <v>150</v>
      </c>
      <c r="G55" s="231">
        <v>150</v>
      </c>
      <c r="H55" s="235">
        <v>6</v>
      </c>
      <c r="I55" s="128" t="s">
        <v>365</v>
      </c>
      <c r="J55" s="236">
        <v>7</v>
      </c>
      <c r="K55" s="238">
        <f>VLOOKUP($H55,'ÇELİK HASIR-KESİT TABLOSU'!$B$8:$AA$30,HLOOKUP($F55,'ÇELİK HASIR-KESİT TABLOSU'!$B$5:$AA$8,3,FALSE)+3)*(IF(I55="d",2,1))</f>
        <v>3.76</v>
      </c>
      <c r="L55" s="239">
        <f>VLOOKUP($J55,'ÇELİK HASIR-KESİT TABLOSU'!$B$8:$AA$30,HLOOKUP($G55,'ÇELİK HASIR-KESİT TABLOSU'!$B$5:$AA$8,3,FALSE)+3)</f>
        <v>2.57</v>
      </c>
      <c r="M55" s="229">
        <f t="shared" si="0"/>
        <v>4.2699999999999996</v>
      </c>
      <c r="N55" s="230">
        <f>ROUND((C55*P55*(VLOOKUP(H55,'ÇELİK HASIR-KESİT TABLOSU'!$B$8:$AA$30,2)))+(E55*O55*(VLOOKUP(J55,'ÇELİK HASIR-KESİT TABLOSU'!$B$8:$AA$30,2))),2)</f>
        <v>45.85</v>
      </c>
      <c r="O55" s="219">
        <f t="shared" si="1"/>
        <v>33</v>
      </c>
      <c r="P55" s="231">
        <f t="shared" si="2"/>
        <v>22</v>
      </c>
      <c r="Q55" s="232"/>
      <c r="R55" s="219">
        <f t="shared" si="4"/>
        <v>51</v>
      </c>
      <c r="S55" s="233" t="str">
        <f t="shared" si="3"/>
        <v>Q377/257</v>
      </c>
    </row>
    <row r="56" spans="2:19">
      <c r="B56" s="237" t="s">
        <v>376</v>
      </c>
      <c r="C56" s="130">
        <v>5</v>
      </c>
      <c r="D56" s="127"/>
      <c r="E56" s="130">
        <v>2.15</v>
      </c>
      <c r="F56" s="234">
        <v>150</v>
      </c>
      <c r="G56" s="231">
        <v>150</v>
      </c>
      <c r="H56" s="235">
        <v>6</v>
      </c>
      <c r="I56" s="128" t="s">
        <v>365</v>
      </c>
      <c r="J56" s="236">
        <v>7.5</v>
      </c>
      <c r="K56" s="238">
        <f>VLOOKUP($H56,'ÇELİK HASIR-KESİT TABLOSU'!$B$8:$AA$30,HLOOKUP($F56,'ÇELİK HASIR-KESİT TABLOSU'!$B$5:$AA$8,3,FALSE)+3)*(IF(I56="d",2,1))</f>
        <v>3.76</v>
      </c>
      <c r="L56" s="239">
        <f>VLOOKUP($J56,'ÇELİK HASIR-KESİT TABLOSU'!$B$8:$AA$30,HLOOKUP($G56,'ÇELİK HASIR-KESİT TABLOSU'!$B$5:$AA$8,3,FALSE)+3)</f>
        <v>2.95</v>
      </c>
      <c r="M56" s="229">
        <f t="shared" si="0"/>
        <v>4.5599999999999996</v>
      </c>
      <c r="N56" s="230">
        <f>ROUND((C56*P56*(VLOOKUP(H56,'ÇELİK HASIR-KESİT TABLOSU'!$B$8:$AA$30,2)))+(E56*O56*(VLOOKUP(J56,'ÇELİK HASIR-KESİT TABLOSU'!$B$8:$AA$30,2))),2)</f>
        <v>49.02</v>
      </c>
      <c r="O56" s="219">
        <f t="shared" si="1"/>
        <v>33</v>
      </c>
      <c r="P56" s="231">
        <f t="shared" si="2"/>
        <v>22</v>
      </c>
      <c r="Q56" s="232"/>
      <c r="R56" s="219">
        <f t="shared" si="4"/>
        <v>52</v>
      </c>
      <c r="S56" s="233" t="str">
        <f t="shared" si="3"/>
        <v>Q377/295</v>
      </c>
    </row>
    <row r="57" spans="2:19">
      <c r="B57" s="237" t="s">
        <v>377</v>
      </c>
      <c r="C57" s="130">
        <v>5</v>
      </c>
      <c r="D57" s="127"/>
      <c r="E57" s="130">
        <v>2.15</v>
      </c>
      <c r="F57" s="234">
        <v>150</v>
      </c>
      <c r="G57" s="231">
        <v>150</v>
      </c>
      <c r="H57" s="235">
        <v>6.5</v>
      </c>
      <c r="I57" s="128" t="s">
        <v>365</v>
      </c>
      <c r="J57" s="236">
        <v>5.5</v>
      </c>
      <c r="K57" s="238">
        <f>VLOOKUP($H57,'ÇELİK HASIR-KESİT TABLOSU'!$B$8:$AA$30,HLOOKUP($F57,'ÇELİK HASIR-KESİT TABLOSU'!$B$5:$AA$8,3,FALSE)+3)*(IF(I57="d",2,1))</f>
        <v>4.42</v>
      </c>
      <c r="L57" s="239">
        <f>VLOOKUP($J57,'ÇELİK HASIR-KESİT TABLOSU'!$B$8:$AA$30,HLOOKUP($G57,'ÇELİK HASIR-KESİT TABLOSU'!$B$5:$AA$8,3,FALSE)+3)</f>
        <v>1.58</v>
      </c>
      <c r="M57" s="229">
        <f t="shared" si="0"/>
        <v>3.9</v>
      </c>
      <c r="N57" s="230">
        <f>ROUND((C57*P57*(VLOOKUP(H57,'ÇELİK HASIR-KESİT TABLOSU'!$B$8:$AA$30,2)))+(E57*O57*(VLOOKUP(J57,'ÇELİK HASIR-KESİT TABLOSU'!$B$8:$AA$30,2))),2)</f>
        <v>41.89</v>
      </c>
      <c r="O57" s="219">
        <f t="shared" si="1"/>
        <v>33</v>
      </c>
      <c r="P57" s="231">
        <f t="shared" si="2"/>
        <v>22</v>
      </c>
      <c r="Q57" s="232"/>
      <c r="R57" s="219">
        <f t="shared" si="4"/>
        <v>53</v>
      </c>
      <c r="S57" s="233" t="str">
        <f t="shared" si="3"/>
        <v>Q443/158</v>
      </c>
    </row>
    <row r="58" spans="2:19">
      <c r="B58" s="237" t="s">
        <v>378</v>
      </c>
      <c r="C58" s="130">
        <v>5</v>
      </c>
      <c r="D58" s="127"/>
      <c r="E58" s="130">
        <v>2.15</v>
      </c>
      <c r="F58" s="234">
        <v>150</v>
      </c>
      <c r="G58" s="231">
        <v>150</v>
      </c>
      <c r="H58" s="235">
        <v>6.5</v>
      </c>
      <c r="I58" s="128" t="s">
        <v>365</v>
      </c>
      <c r="J58" s="236">
        <v>6</v>
      </c>
      <c r="K58" s="238">
        <f>VLOOKUP($H58,'ÇELİK HASIR-KESİT TABLOSU'!$B$8:$AA$30,HLOOKUP($F58,'ÇELİK HASIR-KESİT TABLOSU'!$B$5:$AA$8,3,FALSE)+3)*(IF(I58="d",2,1))</f>
        <v>4.42</v>
      </c>
      <c r="L58" s="239">
        <f>VLOOKUP($J58,'ÇELİK HASIR-KESİT TABLOSU'!$B$8:$AA$30,HLOOKUP($G58,'ÇELİK HASIR-KESİT TABLOSU'!$B$5:$AA$8,3,FALSE)+3)</f>
        <v>1.88</v>
      </c>
      <c r="M58" s="229">
        <f t="shared" si="0"/>
        <v>4.13</v>
      </c>
      <c r="N58" s="230">
        <f>ROUND((C58*P58*(VLOOKUP(H58,'ÇELİK HASIR-KESİT TABLOSU'!$B$8:$AA$30,2)))+(E58*O58*(VLOOKUP(J58,'ÇELİK HASIR-KESİT TABLOSU'!$B$8:$AA$30,2))),2)</f>
        <v>44.4</v>
      </c>
      <c r="O58" s="219">
        <f t="shared" si="1"/>
        <v>33</v>
      </c>
      <c r="P58" s="231">
        <f t="shared" si="2"/>
        <v>22</v>
      </c>
      <c r="Q58" s="232"/>
      <c r="R58" s="219">
        <f t="shared" si="4"/>
        <v>54</v>
      </c>
      <c r="S58" s="233" t="str">
        <f t="shared" si="3"/>
        <v>Q443/188</v>
      </c>
    </row>
    <row r="59" spans="2:19">
      <c r="B59" s="237" t="s">
        <v>379</v>
      </c>
      <c r="C59" s="130">
        <v>5</v>
      </c>
      <c r="D59" s="127"/>
      <c r="E59" s="130">
        <v>2.15</v>
      </c>
      <c r="F59" s="234">
        <v>150</v>
      </c>
      <c r="G59" s="231">
        <v>150</v>
      </c>
      <c r="H59" s="235">
        <v>6.5</v>
      </c>
      <c r="I59" s="128" t="s">
        <v>365</v>
      </c>
      <c r="J59" s="236">
        <v>6.5</v>
      </c>
      <c r="K59" s="238">
        <f>VLOOKUP($H59,'ÇELİK HASIR-KESİT TABLOSU'!$B$8:$AA$30,HLOOKUP($F59,'ÇELİK HASIR-KESİT TABLOSU'!$B$5:$AA$8,3,FALSE)+3)*(IF(I59="d",2,1))</f>
        <v>4.42</v>
      </c>
      <c r="L59" s="239">
        <f>VLOOKUP($J59,'ÇELİK HASIR-KESİT TABLOSU'!$B$8:$AA$30,HLOOKUP($G59,'ÇELİK HASIR-KESİT TABLOSU'!$B$5:$AA$8,3,FALSE)+3)</f>
        <v>2.21</v>
      </c>
      <c r="M59" s="229">
        <f t="shared" si="0"/>
        <v>4.3899999999999997</v>
      </c>
      <c r="N59" s="230">
        <f>ROUND((C59*P59*(VLOOKUP(H59,'ÇELİK HASIR-KESİT TABLOSU'!$B$8:$AA$30,2)))+(E59*O59*(VLOOKUP(J59,'ÇELİK HASIR-KESİT TABLOSU'!$B$8:$AA$30,2))),2)</f>
        <v>47.14</v>
      </c>
      <c r="O59" s="219">
        <f t="shared" si="1"/>
        <v>33</v>
      </c>
      <c r="P59" s="231">
        <f t="shared" si="2"/>
        <v>22</v>
      </c>
      <c r="Q59" s="232"/>
      <c r="R59" s="219">
        <f t="shared" si="4"/>
        <v>55</v>
      </c>
      <c r="S59" s="233" t="str">
        <f t="shared" si="3"/>
        <v>Q443/221</v>
      </c>
    </row>
    <row r="60" spans="2:19">
      <c r="B60" s="237" t="s">
        <v>380</v>
      </c>
      <c r="C60" s="130">
        <v>5</v>
      </c>
      <c r="D60" s="127"/>
      <c r="E60" s="130">
        <v>2.15</v>
      </c>
      <c r="F60" s="234">
        <v>150</v>
      </c>
      <c r="G60" s="231">
        <v>150</v>
      </c>
      <c r="H60" s="235">
        <v>6.5</v>
      </c>
      <c r="I60" s="128" t="s">
        <v>365</v>
      </c>
      <c r="J60" s="236">
        <v>7</v>
      </c>
      <c r="K60" s="238">
        <f>VLOOKUP($H60,'ÇELİK HASIR-KESİT TABLOSU'!$B$8:$AA$30,HLOOKUP($F60,'ÇELİK HASIR-KESİT TABLOSU'!$B$5:$AA$8,3,FALSE)+3)*(IF(I60="d",2,1))</f>
        <v>4.42</v>
      </c>
      <c r="L60" s="239">
        <f>VLOOKUP($J60,'ÇELİK HASIR-KESİT TABLOSU'!$B$8:$AA$30,HLOOKUP($G60,'ÇELİK HASIR-KESİT TABLOSU'!$B$5:$AA$8,3,FALSE)+3)</f>
        <v>2.57</v>
      </c>
      <c r="M60" s="229">
        <f t="shared" si="0"/>
        <v>4.66</v>
      </c>
      <c r="N60" s="230">
        <f>ROUND((C60*P60*(VLOOKUP(H60,'ÇELİK HASIR-KESİT TABLOSU'!$B$8:$AA$30,2)))+(E60*O60*(VLOOKUP(J60,'ÇELİK HASIR-KESİT TABLOSU'!$B$8:$AA$30,2))),2)</f>
        <v>50.09</v>
      </c>
      <c r="O60" s="219">
        <f t="shared" si="1"/>
        <v>33</v>
      </c>
      <c r="P60" s="231">
        <f t="shared" si="2"/>
        <v>22</v>
      </c>
      <c r="Q60" s="232"/>
      <c r="R60" s="219">
        <f t="shared" si="4"/>
        <v>56</v>
      </c>
      <c r="S60" s="233" t="str">
        <f t="shared" si="3"/>
        <v>Q443/257</v>
      </c>
    </row>
    <row r="61" spans="2:19">
      <c r="B61" s="237" t="s">
        <v>381</v>
      </c>
      <c r="C61" s="130">
        <v>5</v>
      </c>
      <c r="D61" s="127"/>
      <c r="E61" s="130">
        <v>2.15</v>
      </c>
      <c r="F61" s="234">
        <v>150</v>
      </c>
      <c r="G61" s="231">
        <v>150</v>
      </c>
      <c r="H61" s="235">
        <v>6.5</v>
      </c>
      <c r="I61" s="128" t="s">
        <v>365</v>
      </c>
      <c r="J61" s="236">
        <v>7.5</v>
      </c>
      <c r="K61" s="238">
        <f>VLOOKUP($H61,'ÇELİK HASIR-KESİT TABLOSU'!$B$8:$AA$30,HLOOKUP($F61,'ÇELİK HASIR-KESİT TABLOSU'!$B$5:$AA$8,3,FALSE)+3)*(IF(I61="d",2,1))</f>
        <v>4.42</v>
      </c>
      <c r="L61" s="239">
        <f>VLOOKUP($J61,'ÇELİK HASIR-KESİT TABLOSU'!$B$8:$AA$30,HLOOKUP($G61,'ÇELİK HASIR-KESİT TABLOSU'!$B$5:$AA$8,3,FALSE)+3)</f>
        <v>2.95</v>
      </c>
      <c r="M61" s="229">
        <f t="shared" si="0"/>
        <v>4.95</v>
      </c>
      <c r="N61" s="230">
        <f>ROUND((C61*P61*(VLOOKUP(H61,'ÇELİK HASIR-KESİT TABLOSU'!$B$8:$AA$30,2)))+(E61*O61*(VLOOKUP(J61,'ÇELİK HASIR-KESİT TABLOSU'!$B$8:$AA$30,2))),2)</f>
        <v>53.26</v>
      </c>
      <c r="O61" s="219">
        <f t="shared" si="1"/>
        <v>33</v>
      </c>
      <c r="P61" s="231">
        <f t="shared" si="2"/>
        <v>22</v>
      </c>
      <c r="Q61" s="232"/>
      <c r="R61" s="219">
        <f t="shared" si="4"/>
        <v>57</v>
      </c>
      <c r="S61" s="233" t="str">
        <f t="shared" si="3"/>
        <v>Q443/295</v>
      </c>
    </row>
    <row r="62" spans="2:19">
      <c r="B62" s="237" t="s">
        <v>382</v>
      </c>
      <c r="C62" s="130">
        <v>5</v>
      </c>
      <c r="D62" s="127"/>
      <c r="E62" s="130">
        <v>2.15</v>
      </c>
      <c r="F62" s="234">
        <v>150</v>
      </c>
      <c r="G62" s="231">
        <v>150</v>
      </c>
      <c r="H62" s="235">
        <v>7</v>
      </c>
      <c r="I62" s="128" t="s">
        <v>365</v>
      </c>
      <c r="J62" s="236">
        <v>6</v>
      </c>
      <c r="K62" s="238">
        <f>VLOOKUP($H62,'ÇELİK HASIR-KESİT TABLOSU'!$B$8:$AA$30,HLOOKUP($F62,'ÇELİK HASIR-KESİT TABLOSU'!$B$5:$AA$8,3,FALSE)+3)*(IF(I62="d",2,1))</f>
        <v>5.14</v>
      </c>
      <c r="L62" s="239">
        <f>VLOOKUP($J62,'ÇELİK HASIR-KESİT TABLOSU'!$B$8:$AA$30,HLOOKUP($G62,'ÇELİK HASIR-KESİT TABLOSU'!$B$5:$AA$8,3,FALSE)+3)</f>
        <v>1.88</v>
      </c>
      <c r="M62" s="229">
        <f t="shared" si="0"/>
        <v>4.5599999999999996</v>
      </c>
      <c r="N62" s="230">
        <f>ROUND((C62*P62*(VLOOKUP(H62,'ÇELİK HASIR-KESİT TABLOSU'!$B$8:$AA$30,2)))+(E62*O62*(VLOOKUP(J62,'ÇELİK HASIR-KESİT TABLOSU'!$B$8:$AA$30,2))),2)</f>
        <v>48.98</v>
      </c>
      <c r="O62" s="219">
        <f t="shared" si="1"/>
        <v>33</v>
      </c>
      <c r="P62" s="231">
        <f t="shared" si="2"/>
        <v>22</v>
      </c>
      <c r="Q62" s="232"/>
      <c r="R62" s="219">
        <f t="shared" si="4"/>
        <v>58</v>
      </c>
      <c r="S62" s="233" t="str">
        <f t="shared" si="3"/>
        <v>Q513/188</v>
      </c>
    </row>
    <row r="63" spans="2:19">
      <c r="B63" s="237" t="s">
        <v>383</v>
      </c>
      <c r="C63" s="130">
        <v>5</v>
      </c>
      <c r="D63" s="127"/>
      <c r="E63" s="130">
        <v>2.15</v>
      </c>
      <c r="F63" s="234">
        <v>150</v>
      </c>
      <c r="G63" s="231">
        <v>150</v>
      </c>
      <c r="H63" s="235">
        <v>7</v>
      </c>
      <c r="I63" s="128" t="s">
        <v>365</v>
      </c>
      <c r="J63" s="236">
        <v>6.5</v>
      </c>
      <c r="K63" s="238">
        <f>VLOOKUP($H63,'ÇELİK HASIR-KESİT TABLOSU'!$B$8:$AA$30,HLOOKUP($F63,'ÇELİK HASIR-KESİT TABLOSU'!$B$5:$AA$8,3,FALSE)+3)*(IF(I63="d",2,1))</f>
        <v>5.14</v>
      </c>
      <c r="L63" s="239">
        <f>VLOOKUP($J63,'ÇELİK HASIR-KESİT TABLOSU'!$B$8:$AA$30,HLOOKUP($G63,'ÇELİK HASIR-KESİT TABLOSU'!$B$5:$AA$8,3,FALSE)+3)</f>
        <v>2.21</v>
      </c>
      <c r="M63" s="229">
        <f t="shared" si="0"/>
        <v>4.8099999999999996</v>
      </c>
      <c r="N63" s="230">
        <f>ROUND((C63*P63*(VLOOKUP(H63,'ÇELİK HASIR-KESİT TABLOSU'!$B$8:$AA$30,2)))+(E63*O63*(VLOOKUP(J63,'ÇELİK HASIR-KESİT TABLOSU'!$B$8:$AA$30,2))),2)</f>
        <v>51.71</v>
      </c>
      <c r="O63" s="219">
        <f t="shared" si="1"/>
        <v>33</v>
      </c>
      <c r="P63" s="231">
        <f t="shared" si="2"/>
        <v>22</v>
      </c>
      <c r="Q63" s="232"/>
      <c r="R63" s="219">
        <f t="shared" si="4"/>
        <v>59</v>
      </c>
      <c r="S63" s="233" t="str">
        <f t="shared" si="3"/>
        <v>Q513/221</v>
      </c>
    </row>
    <row r="64" spans="2:19">
      <c r="B64" s="237" t="s">
        <v>384</v>
      </c>
      <c r="C64" s="130">
        <v>5</v>
      </c>
      <c r="D64" s="127"/>
      <c r="E64" s="130">
        <v>2.15</v>
      </c>
      <c r="F64" s="234">
        <v>150</v>
      </c>
      <c r="G64" s="231">
        <v>150</v>
      </c>
      <c r="H64" s="235">
        <v>7</v>
      </c>
      <c r="I64" s="128" t="s">
        <v>365</v>
      </c>
      <c r="J64" s="236">
        <v>7</v>
      </c>
      <c r="K64" s="238">
        <f>VLOOKUP($H64,'ÇELİK HASIR-KESİT TABLOSU'!$B$8:$AA$30,HLOOKUP($F64,'ÇELİK HASIR-KESİT TABLOSU'!$B$5:$AA$8,3,FALSE)+3)*(IF(I64="d",2,1))</f>
        <v>5.14</v>
      </c>
      <c r="L64" s="239">
        <f>VLOOKUP($J64,'ÇELİK HASIR-KESİT TABLOSU'!$B$8:$AA$30,HLOOKUP($G64,'ÇELİK HASIR-KESİT TABLOSU'!$B$5:$AA$8,3,FALSE)+3)</f>
        <v>2.57</v>
      </c>
      <c r="M64" s="229">
        <f t="shared" si="0"/>
        <v>5.09</v>
      </c>
      <c r="N64" s="230">
        <f>ROUND((C64*P64*(VLOOKUP(H64,'ÇELİK HASIR-KESİT TABLOSU'!$B$8:$AA$30,2)))+(E64*O64*(VLOOKUP(J64,'ÇELİK HASIR-KESİT TABLOSU'!$B$8:$AA$30,2))),2)</f>
        <v>54.67</v>
      </c>
      <c r="O64" s="219">
        <f t="shared" si="1"/>
        <v>33</v>
      </c>
      <c r="P64" s="231">
        <f t="shared" si="2"/>
        <v>22</v>
      </c>
      <c r="Q64" s="232"/>
      <c r="R64" s="219">
        <f t="shared" si="4"/>
        <v>60</v>
      </c>
      <c r="S64" s="233" t="str">
        <f t="shared" si="3"/>
        <v>Q513/257</v>
      </c>
    </row>
    <row r="65" spans="2:19">
      <c r="B65" s="237" t="s">
        <v>385</v>
      </c>
      <c r="C65" s="130">
        <v>5</v>
      </c>
      <c r="D65" s="127"/>
      <c r="E65" s="130">
        <v>2.15</v>
      </c>
      <c r="F65" s="234">
        <v>150</v>
      </c>
      <c r="G65" s="231">
        <v>150</v>
      </c>
      <c r="H65" s="235">
        <v>7</v>
      </c>
      <c r="I65" s="128" t="s">
        <v>365</v>
      </c>
      <c r="J65" s="236">
        <v>7.5</v>
      </c>
      <c r="K65" s="238">
        <f>VLOOKUP($H65,'ÇELİK HASIR-KESİT TABLOSU'!$B$8:$AA$30,HLOOKUP($F65,'ÇELİK HASIR-KESİT TABLOSU'!$B$5:$AA$8,3,FALSE)+3)*(IF(I65="d",2,1))</f>
        <v>5.14</v>
      </c>
      <c r="L65" s="239">
        <f>VLOOKUP($J65,'ÇELİK HASIR-KESİT TABLOSU'!$B$8:$AA$30,HLOOKUP($G65,'ÇELİK HASIR-KESİT TABLOSU'!$B$5:$AA$8,3,FALSE)+3)</f>
        <v>2.95</v>
      </c>
      <c r="M65" s="229">
        <f t="shared" si="0"/>
        <v>5.38</v>
      </c>
      <c r="N65" s="230">
        <f>ROUND((C65*P65*(VLOOKUP(H65,'ÇELİK HASIR-KESİT TABLOSU'!$B$8:$AA$30,2)))+(E65*O65*(VLOOKUP(J65,'ÇELİK HASIR-KESİT TABLOSU'!$B$8:$AA$30,2))),2)</f>
        <v>57.84</v>
      </c>
      <c r="O65" s="219">
        <f t="shared" si="1"/>
        <v>33</v>
      </c>
      <c r="P65" s="231">
        <f t="shared" si="2"/>
        <v>22</v>
      </c>
      <c r="Q65" s="232"/>
      <c r="R65" s="219">
        <f t="shared" si="4"/>
        <v>61</v>
      </c>
      <c r="S65" s="233" t="str">
        <f t="shared" si="3"/>
        <v>Q513/295</v>
      </c>
    </row>
    <row r="66" spans="2:19">
      <c r="B66" s="237" t="s">
        <v>386</v>
      </c>
      <c r="C66" s="130">
        <v>5</v>
      </c>
      <c r="D66" s="127"/>
      <c r="E66" s="130">
        <v>2.15</v>
      </c>
      <c r="F66" s="234">
        <v>150</v>
      </c>
      <c r="G66" s="231">
        <v>150</v>
      </c>
      <c r="H66" s="235">
        <v>7.5</v>
      </c>
      <c r="I66" s="128" t="s">
        <v>365</v>
      </c>
      <c r="J66" s="236">
        <v>6.5</v>
      </c>
      <c r="K66" s="238">
        <f>VLOOKUP($H66,'ÇELİK HASIR-KESİT TABLOSU'!$B$8:$AA$30,HLOOKUP($F66,'ÇELİK HASIR-KESİT TABLOSU'!$B$5:$AA$8,3,FALSE)+3)*(IF(I66="d",2,1))</f>
        <v>5.9</v>
      </c>
      <c r="L66" s="239">
        <f>VLOOKUP($J66,'ÇELİK HASIR-KESİT TABLOSU'!$B$8:$AA$30,HLOOKUP($G66,'ÇELİK HASIR-KESİT TABLOSU'!$B$5:$AA$8,3,FALSE)+3)</f>
        <v>2.21</v>
      </c>
      <c r="M66" s="229">
        <f t="shared" si="0"/>
        <v>5.27</v>
      </c>
      <c r="N66" s="230">
        <f>ROUND((C66*P66*(VLOOKUP(H66,'ÇELİK HASIR-KESİT TABLOSU'!$B$8:$AA$30,2)))+(E66*O66*(VLOOKUP(J66,'ÇELİK HASIR-KESİT TABLOSU'!$B$8:$AA$30,2))),2)</f>
        <v>56.63</v>
      </c>
      <c r="O66" s="219">
        <f t="shared" si="1"/>
        <v>33</v>
      </c>
      <c r="P66" s="231">
        <f t="shared" si="2"/>
        <v>22</v>
      </c>
      <c r="Q66" s="232"/>
      <c r="R66" s="219">
        <f t="shared" si="4"/>
        <v>62</v>
      </c>
      <c r="S66" s="233" t="str">
        <f t="shared" si="3"/>
        <v>Q589/221</v>
      </c>
    </row>
    <row r="67" spans="2:19">
      <c r="B67" s="237" t="s">
        <v>387</v>
      </c>
      <c r="C67" s="130">
        <v>5</v>
      </c>
      <c r="D67" s="127"/>
      <c r="E67" s="130">
        <v>2.15</v>
      </c>
      <c r="F67" s="234">
        <v>150</v>
      </c>
      <c r="G67" s="231">
        <v>150</v>
      </c>
      <c r="H67" s="235">
        <v>7.5</v>
      </c>
      <c r="I67" s="128" t="s">
        <v>365</v>
      </c>
      <c r="J67" s="236">
        <v>7</v>
      </c>
      <c r="K67" s="238">
        <f>VLOOKUP($H67,'ÇELİK HASIR-KESİT TABLOSU'!$B$8:$AA$30,HLOOKUP($F67,'ÇELİK HASIR-KESİT TABLOSU'!$B$5:$AA$8,3,FALSE)+3)*(IF(I67="d",2,1))</f>
        <v>5.9</v>
      </c>
      <c r="L67" s="239">
        <f>VLOOKUP($J67,'ÇELİK HASIR-KESİT TABLOSU'!$B$8:$AA$30,HLOOKUP($G67,'ÇELİK HASIR-KESİT TABLOSU'!$B$5:$AA$8,3,FALSE)+3)</f>
        <v>2.57</v>
      </c>
      <c r="M67" s="229">
        <f t="shared" si="0"/>
        <v>5.54</v>
      </c>
      <c r="N67" s="230">
        <f>ROUND((C67*P67*(VLOOKUP(H67,'ÇELİK HASIR-KESİT TABLOSU'!$B$8:$AA$30,2)))+(E67*O67*(VLOOKUP(J67,'ÇELİK HASIR-KESİT TABLOSU'!$B$8:$AA$30,2))),2)</f>
        <v>59.58</v>
      </c>
      <c r="O67" s="219">
        <f t="shared" si="1"/>
        <v>33</v>
      </c>
      <c r="P67" s="231">
        <f t="shared" si="2"/>
        <v>22</v>
      </c>
      <c r="Q67" s="232"/>
      <c r="R67" s="219">
        <f t="shared" si="4"/>
        <v>63</v>
      </c>
      <c r="S67" s="233" t="str">
        <f t="shared" si="3"/>
        <v>Q589/257</v>
      </c>
    </row>
    <row r="68" spans="2:19">
      <c r="B68" s="237" t="s">
        <v>388</v>
      </c>
      <c r="C68" s="130">
        <v>5</v>
      </c>
      <c r="D68" s="127"/>
      <c r="E68" s="130">
        <v>2.15</v>
      </c>
      <c r="F68" s="234">
        <v>150</v>
      </c>
      <c r="G68" s="231">
        <v>150</v>
      </c>
      <c r="H68" s="235">
        <v>7.5</v>
      </c>
      <c r="I68" s="128" t="s">
        <v>365</v>
      </c>
      <c r="J68" s="236">
        <v>7.5</v>
      </c>
      <c r="K68" s="238">
        <f>VLOOKUP($H68,'ÇELİK HASIR-KESİT TABLOSU'!$B$8:$AA$30,HLOOKUP($F68,'ÇELİK HASIR-KESİT TABLOSU'!$B$5:$AA$8,3,FALSE)+3)*(IF(I68="d",2,1))</f>
        <v>5.9</v>
      </c>
      <c r="L68" s="239">
        <f>VLOOKUP($J68,'ÇELİK HASIR-KESİT TABLOSU'!$B$8:$AA$30,HLOOKUP($G68,'ÇELİK HASIR-KESİT TABLOSU'!$B$5:$AA$8,3,FALSE)+3)</f>
        <v>2.95</v>
      </c>
      <c r="M68" s="229">
        <f t="shared" si="0"/>
        <v>5.84</v>
      </c>
      <c r="N68" s="230">
        <f>ROUND((C68*P68*(VLOOKUP(H68,'ÇELİK HASIR-KESİT TABLOSU'!$B$8:$AA$30,2)))+(E68*O68*(VLOOKUP(J68,'ÇELİK HASIR-KESİT TABLOSU'!$B$8:$AA$30,2))),2)</f>
        <v>62.75</v>
      </c>
      <c r="O68" s="219">
        <f t="shared" si="1"/>
        <v>33</v>
      </c>
      <c r="P68" s="231">
        <f t="shared" si="2"/>
        <v>22</v>
      </c>
      <c r="Q68" s="232"/>
      <c r="R68" s="219">
        <f t="shared" si="4"/>
        <v>64</v>
      </c>
      <c r="S68" s="233" t="str">
        <f t="shared" si="3"/>
        <v>Q589/295</v>
      </c>
    </row>
    <row r="69" spans="2:19">
      <c r="B69" s="237" t="s">
        <v>389</v>
      </c>
      <c r="C69" s="130">
        <v>5</v>
      </c>
      <c r="D69" s="127"/>
      <c r="E69" s="130">
        <v>2.15</v>
      </c>
      <c r="F69" s="234">
        <v>150</v>
      </c>
      <c r="G69" s="231">
        <v>250</v>
      </c>
      <c r="H69" s="235">
        <v>4.5</v>
      </c>
      <c r="I69" s="129"/>
      <c r="J69" s="236">
        <v>4.5</v>
      </c>
      <c r="K69" s="238">
        <f>VLOOKUP($H69,'ÇELİK HASIR-KESİT TABLOSU'!$B$8:$AA$30,HLOOKUP($F69,'ÇELİK HASIR-KESİT TABLOSU'!$B$5:$AA$8,3,FALSE)+3)*(IF(I69="d",2,1))</f>
        <v>1.06</v>
      </c>
      <c r="L69" s="239">
        <f>VLOOKUP($J69,'ÇELİK HASIR-KESİT TABLOSU'!$B$8:$AA$30,HLOOKUP($G69,'ÇELİK HASIR-KESİT TABLOSU'!$B$5:$AA$8,3,FALSE)+3)</f>
        <v>0.64</v>
      </c>
      <c r="M69" s="229">
        <f t="shared" ref="M69:M81" si="5">ROUND(N69/(5*E69),2)</f>
        <v>1.37</v>
      </c>
      <c r="N69" s="230">
        <f>ROUND((C69*P69*(VLOOKUP(H69,'ÇELİK HASIR-KESİT TABLOSU'!$B$8:$AA$30,2)))+(E69*O69*(VLOOKUP(J69,'ÇELİK HASIR-KESİT TABLOSU'!$B$8:$AA$30,2))),2)</f>
        <v>14.73</v>
      </c>
      <c r="O69" s="234">
        <f t="shared" ref="O69:O81" si="6">ROUND((((C69-(IF(MID(B69,1,1)="Q",0.2,0.25))-(IF(D69&lt;&gt;0,(IF(MID(B69,1,1)="Q",(D69-0.1),(D69-0.125))),0)))/(G69/1000)+1)),0)</f>
        <v>20</v>
      </c>
      <c r="P69" s="231">
        <f t="shared" ref="P69:P81" si="7">ROUND((((E69-(0.05))/(F69/1000)+1)+(IF(I69="d",(IF(MID(B69,1,1)="Q",((E69-0.05-((F69/1000)*8))/(F69/1000))+1,((E69-0.05-((F69/1000)*4))/(F69/1000))+1)),0))),0)</f>
        <v>15</v>
      </c>
      <c r="Q69" s="232"/>
      <c r="R69" s="219">
        <f t="shared" si="4"/>
        <v>65</v>
      </c>
      <c r="S69" s="233" t="str">
        <f t="shared" si="3"/>
        <v>R106</v>
      </c>
    </row>
    <row r="70" spans="2:19">
      <c r="B70" s="237" t="s">
        <v>390</v>
      </c>
      <c r="C70" s="130">
        <v>5</v>
      </c>
      <c r="D70" s="127"/>
      <c r="E70" s="130">
        <v>2.15</v>
      </c>
      <c r="F70" s="234">
        <v>150</v>
      </c>
      <c r="G70" s="231">
        <v>250</v>
      </c>
      <c r="H70" s="235">
        <v>5</v>
      </c>
      <c r="I70" s="129"/>
      <c r="J70" s="236">
        <v>5</v>
      </c>
      <c r="K70" s="238">
        <f>VLOOKUP($H70,'ÇELİK HASIR-KESİT TABLOSU'!$B$8:$AA$30,HLOOKUP($F70,'ÇELİK HASIR-KESİT TABLOSU'!$B$5:$AA$8,3,FALSE)+3)*(IF(I70="d",2,1))</f>
        <v>1.31</v>
      </c>
      <c r="L70" s="239">
        <f>VLOOKUP($J70,'ÇELİK HASIR-KESİT TABLOSU'!$B$8:$AA$30,HLOOKUP($G70,'ÇELİK HASIR-KESİT TABLOSU'!$B$5:$AA$8,3,FALSE)+3)</f>
        <v>0.79</v>
      </c>
      <c r="M70" s="229">
        <f t="shared" si="5"/>
        <v>1.69</v>
      </c>
      <c r="N70" s="230">
        <f>ROUND((C70*P70*(VLOOKUP(H70,'ÇELİK HASIR-KESİT TABLOSU'!$B$8:$AA$30,2)))+(E70*O70*(VLOOKUP(J70,'ÇELİK HASIR-KESİT TABLOSU'!$B$8:$AA$30,2))),2)</f>
        <v>18.190000000000001</v>
      </c>
      <c r="O70" s="234">
        <f t="shared" si="6"/>
        <v>20</v>
      </c>
      <c r="P70" s="231">
        <f t="shared" si="7"/>
        <v>15</v>
      </c>
      <c r="Q70" s="232"/>
      <c r="R70" s="219">
        <f t="shared" si="4"/>
        <v>66</v>
      </c>
      <c r="S70" s="233" t="str">
        <f t="shared" ref="S70:S81" si="8">B70</f>
        <v>R131</v>
      </c>
    </row>
    <row r="71" spans="2:19">
      <c r="B71" s="237" t="s">
        <v>391</v>
      </c>
      <c r="C71" s="130">
        <v>5</v>
      </c>
      <c r="D71" s="127"/>
      <c r="E71" s="130">
        <v>2.15</v>
      </c>
      <c r="F71" s="234">
        <v>150</v>
      </c>
      <c r="G71" s="231">
        <v>250</v>
      </c>
      <c r="H71" s="235">
        <v>5.5</v>
      </c>
      <c r="I71" s="129"/>
      <c r="J71" s="236">
        <v>5</v>
      </c>
      <c r="K71" s="238">
        <f>VLOOKUP($H71,'ÇELİK HASIR-KESİT TABLOSU'!$B$8:$AA$30,HLOOKUP($F71,'ÇELİK HASIR-KESİT TABLOSU'!$B$5:$AA$8,3,FALSE)+3)*(IF(I71="d",2,1))</f>
        <v>1.58</v>
      </c>
      <c r="L71" s="239">
        <f>VLOOKUP($J71,'ÇELİK HASIR-KESİT TABLOSU'!$B$8:$AA$30,HLOOKUP($G71,'ÇELİK HASIR-KESİT TABLOSU'!$B$5:$AA$8,3,FALSE)+3)</f>
        <v>0.79</v>
      </c>
      <c r="M71" s="229">
        <f t="shared" si="5"/>
        <v>1.92</v>
      </c>
      <c r="N71" s="230">
        <f>ROUND((C71*P71*(VLOOKUP(H71,'ÇELİK HASIR-KESİT TABLOSU'!$B$8:$AA$30,2)))+(E71*O71*(VLOOKUP(J71,'ÇELİK HASIR-KESİT TABLOSU'!$B$8:$AA$30,2))),2)</f>
        <v>20.62</v>
      </c>
      <c r="O71" s="234">
        <f t="shared" si="6"/>
        <v>20</v>
      </c>
      <c r="P71" s="231">
        <f t="shared" si="7"/>
        <v>15</v>
      </c>
      <c r="Q71" s="232"/>
      <c r="R71" s="219">
        <f t="shared" ref="R71:R81" si="9">R70+1</f>
        <v>67</v>
      </c>
      <c r="S71" s="233" t="str">
        <f t="shared" si="8"/>
        <v>R158</v>
      </c>
    </row>
    <row r="72" spans="2:19">
      <c r="B72" s="237" t="s">
        <v>392</v>
      </c>
      <c r="C72" s="130">
        <v>5</v>
      </c>
      <c r="D72" s="127"/>
      <c r="E72" s="130">
        <v>2.15</v>
      </c>
      <c r="F72" s="234">
        <v>150</v>
      </c>
      <c r="G72" s="231">
        <v>250</v>
      </c>
      <c r="H72" s="235">
        <v>6</v>
      </c>
      <c r="I72" s="129"/>
      <c r="J72" s="236">
        <v>5</v>
      </c>
      <c r="K72" s="238">
        <f>VLOOKUP($H72,'ÇELİK HASIR-KESİT TABLOSU'!$B$8:$AA$30,HLOOKUP($F72,'ÇELİK HASIR-KESİT TABLOSU'!$B$5:$AA$8,3,FALSE)+3)*(IF(I72="d",2,1))</f>
        <v>1.88</v>
      </c>
      <c r="L72" s="239">
        <f>VLOOKUP($J72,'ÇELİK HASIR-KESİT TABLOSU'!$B$8:$AA$30,HLOOKUP($G72,'ÇELİK HASIR-KESİT TABLOSU'!$B$5:$AA$8,3,FALSE)+3)</f>
        <v>0.79</v>
      </c>
      <c r="M72" s="229">
        <f t="shared" si="5"/>
        <v>2.16</v>
      </c>
      <c r="N72" s="230">
        <f>ROUND((C72*P72*(VLOOKUP(H72,'ÇELİK HASIR-KESİT TABLOSU'!$B$8:$AA$30,2)))+(E72*O72*(VLOOKUP(J72,'ÇELİK HASIR-KESİT TABLOSU'!$B$8:$AA$30,2))),2)</f>
        <v>23.27</v>
      </c>
      <c r="O72" s="234">
        <f t="shared" si="6"/>
        <v>20</v>
      </c>
      <c r="P72" s="231">
        <f t="shared" si="7"/>
        <v>15</v>
      </c>
      <c r="Q72" s="232"/>
      <c r="R72" s="219">
        <f t="shared" si="9"/>
        <v>68</v>
      </c>
      <c r="S72" s="233" t="str">
        <f t="shared" si="8"/>
        <v>R188</v>
      </c>
    </row>
    <row r="73" spans="2:19">
      <c r="B73" s="237" t="s">
        <v>393</v>
      </c>
      <c r="C73" s="130">
        <v>5</v>
      </c>
      <c r="D73" s="127"/>
      <c r="E73" s="130">
        <v>2.15</v>
      </c>
      <c r="F73" s="234">
        <v>150</v>
      </c>
      <c r="G73" s="231">
        <v>250</v>
      </c>
      <c r="H73" s="235">
        <v>6.5</v>
      </c>
      <c r="I73" s="129"/>
      <c r="J73" s="236">
        <v>5</v>
      </c>
      <c r="K73" s="238">
        <f>VLOOKUP($H73,'ÇELİK HASIR-KESİT TABLOSU'!$B$8:$AA$30,HLOOKUP($F73,'ÇELİK HASIR-KESİT TABLOSU'!$B$5:$AA$8,3,FALSE)+3)*(IF(I73="d",2,1))</f>
        <v>2.21</v>
      </c>
      <c r="L73" s="239">
        <f>VLOOKUP($J73,'ÇELİK HASIR-KESİT TABLOSU'!$B$8:$AA$30,HLOOKUP($G73,'ÇELİK HASIR-KESİT TABLOSU'!$B$5:$AA$8,3,FALSE)+3)</f>
        <v>0.79</v>
      </c>
      <c r="M73" s="229">
        <f t="shared" si="5"/>
        <v>2.4300000000000002</v>
      </c>
      <c r="N73" s="230">
        <f>ROUND((C73*P73*(VLOOKUP(H73,'ÇELİK HASIR-KESİT TABLOSU'!$B$8:$AA$30,2)))+(E73*O73*(VLOOKUP(J73,'ÇELİK HASIR-KESİT TABLOSU'!$B$8:$AA$30,2))),2)</f>
        <v>26.16</v>
      </c>
      <c r="O73" s="234">
        <f t="shared" si="6"/>
        <v>20</v>
      </c>
      <c r="P73" s="231">
        <f t="shared" si="7"/>
        <v>15</v>
      </c>
      <c r="Q73" s="232"/>
      <c r="R73" s="219">
        <f t="shared" si="9"/>
        <v>69</v>
      </c>
      <c r="S73" s="233" t="str">
        <f t="shared" si="8"/>
        <v>R221</v>
      </c>
    </row>
    <row r="74" spans="2:19">
      <c r="B74" s="237" t="s">
        <v>394</v>
      </c>
      <c r="C74" s="130">
        <v>5</v>
      </c>
      <c r="D74" s="127"/>
      <c r="E74" s="130">
        <v>2.15</v>
      </c>
      <c r="F74" s="234">
        <v>150</v>
      </c>
      <c r="G74" s="231">
        <v>250</v>
      </c>
      <c r="H74" s="235">
        <v>7</v>
      </c>
      <c r="I74" s="129"/>
      <c r="J74" s="236">
        <v>5</v>
      </c>
      <c r="K74" s="238">
        <f>VLOOKUP($H74,'ÇELİK HASIR-KESİT TABLOSU'!$B$8:$AA$30,HLOOKUP($F74,'ÇELİK HASIR-KESİT TABLOSU'!$B$5:$AA$8,3,FALSE)+3)*(IF(I74="d",2,1))</f>
        <v>2.57</v>
      </c>
      <c r="L74" s="239">
        <f>VLOOKUP($J74,'ÇELİK HASIR-KESİT TABLOSU'!$B$8:$AA$30,HLOOKUP($G74,'ÇELİK HASIR-KESİT TABLOSU'!$B$5:$AA$8,3,FALSE)+3)</f>
        <v>0.79</v>
      </c>
      <c r="M74" s="229">
        <f t="shared" si="5"/>
        <v>2.72</v>
      </c>
      <c r="N74" s="230">
        <f>ROUND((C74*P74*(VLOOKUP(H74,'ÇELİK HASIR-KESİT TABLOSU'!$B$8:$AA$30,2)))+(E74*O74*(VLOOKUP(J74,'ÇELİK HASIR-KESİT TABLOSU'!$B$8:$AA$30,2))),2)</f>
        <v>29.29</v>
      </c>
      <c r="O74" s="234">
        <f t="shared" si="6"/>
        <v>20</v>
      </c>
      <c r="P74" s="231">
        <f t="shared" si="7"/>
        <v>15</v>
      </c>
      <c r="Q74" s="232"/>
      <c r="R74" s="219">
        <f t="shared" si="9"/>
        <v>70</v>
      </c>
      <c r="S74" s="233" t="str">
        <f t="shared" si="8"/>
        <v>R257</v>
      </c>
    </row>
    <row r="75" spans="2:19">
      <c r="B75" s="237" t="s">
        <v>395</v>
      </c>
      <c r="C75" s="130">
        <v>5</v>
      </c>
      <c r="D75" s="127"/>
      <c r="E75" s="130">
        <v>2.15</v>
      </c>
      <c r="F75" s="234">
        <v>150</v>
      </c>
      <c r="G75" s="231">
        <v>250</v>
      </c>
      <c r="H75" s="235">
        <v>7.5</v>
      </c>
      <c r="I75" s="129"/>
      <c r="J75" s="236">
        <v>5</v>
      </c>
      <c r="K75" s="238">
        <f>VLOOKUP($H75,'ÇELİK HASIR-KESİT TABLOSU'!$B$8:$AA$30,HLOOKUP($F75,'ÇELİK HASIR-KESİT TABLOSU'!$B$5:$AA$8,3,FALSE)+3)*(IF(I75="d",2,1))</f>
        <v>2.95</v>
      </c>
      <c r="L75" s="239">
        <f>VLOOKUP($J75,'ÇELİK HASIR-KESİT TABLOSU'!$B$8:$AA$30,HLOOKUP($G75,'ÇELİK HASIR-KESİT TABLOSU'!$B$5:$AA$8,3,FALSE)+3)</f>
        <v>0.79</v>
      </c>
      <c r="M75" s="229">
        <f t="shared" si="5"/>
        <v>3.04</v>
      </c>
      <c r="N75" s="230">
        <f>ROUND((C75*P75*(VLOOKUP(H75,'ÇELİK HASIR-KESİT TABLOSU'!$B$8:$AA$30,2)))+(E75*O75*(VLOOKUP(J75,'ÇELİK HASIR-KESİT TABLOSU'!$B$8:$AA$30,2))),2)</f>
        <v>32.64</v>
      </c>
      <c r="O75" s="234">
        <f t="shared" si="6"/>
        <v>20</v>
      </c>
      <c r="P75" s="231">
        <f t="shared" si="7"/>
        <v>15</v>
      </c>
      <c r="Q75" s="232"/>
      <c r="R75" s="219">
        <f t="shared" si="9"/>
        <v>71</v>
      </c>
      <c r="S75" s="233" t="str">
        <f t="shared" si="8"/>
        <v>R295</v>
      </c>
    </row>
    <row r="76" spans="2:19">
      <c r="B76" s="237" t="s">
        <v>396</v>
      </c>
      <c r="C76" s="130">
        <v>5</v>
      </c>
      <c r="D76" s="127"/>
      <c r="E76" s="130">
        <v>2.15</v>
      </c>
      <c r="F76" s="234">
        <v>150</v>
      </c>
      <c r="G76" s="231">
        <v>250</v>
      </c>
      <c r="H76" s="235">
        <v>5.5</v>
      </c>
      <c r="I76" s="129" t="s">
        <v>365</v>
      </c>
      <c r="J76" s="236">
        <v>5</v>
      </c>
      <c r="K76" s="238">
        <f>VLOOKUP($H76,'ÇELİK HASIR-KESİT TABLOSU'!$B$8:$AA$30,HLOOKUP($F76,'ÇELİK HASIR-KESİT TABLOSU'!$B$5:$AA$8,3,FALSE)+3)*(IF(I76="d",2,1))</f>
        <v>3.16</v>
      </c>
      <c r="L76" s="239">
        <f>VLOOKUP($J76,'ÇELİK HASIR-KESİT TABLOSU'!$B$8:$AA$30,HLOOKUP($G76,'ÇELİK HASIR-KESİT TABLOSU'!$B$5:$AA$8,3,FALSE)+3)</f>
        <v>0.79</v>
      </c>
      <c r="M76" s="229">
        <f t="shared" si="5"/>
        <v>2.87</v>
      </c>
      <c r="N76" s="230">
        <f>ROUND((C76*P76*(VLOOKUP(H76,'ÇELİK HASIR-KESİT TABLOSU'!$B$8:$AA$30,2)))+(E76*O76*(VLOOKUP(J76,'ÇELİK HASIR-KESİT TABLOSU'!$B$8:$AA$30,2))),2)</f>
        <v>30.87</v>
      </c>
      <c r="O76" s="234">
        <f t="shared" si="6"/>
        <v>20</v>
      </c>
      <c r="P76" s="231">
        <f t="shared" si="7"/>
        <v>26</v>
      </c>
      <c r="Q76" s="232"/>
      <c r="R76" s="219">
        <f t="shared" si="9"/>
        <v>72</v>
      </c>
      <c r="S76" s="233" t="str">
        <f t="shared" si="8"/>
        <v>R317</v>
      </c>
    </row>
    <row r="77" spans="2:19">
      <c r="B77" s="237" t="s">
        <v>397</v>
      </c>
      <c r="C77" s="130">
        <v>5</v>
      </c>
      <c r="D77" s="127"/>
      <c r="E77" s="130">
        <v>2.15</v>
      </c>
      <c r="F77" s="234">
        <v>150</v>
      </c>
      <c r="G77" s="231">
        <v>250</v>
      </c>
      <c r="H77" s="235">
        <v>8</v>
      </c>
      <c r="I77" s="129"/>
      <c r="J77" s="236">
        <v>5</v>
      </c>
      <c r="K77" s="238">
        <f>VLOOKUP($H77,'ÇELİK HASIR-KESİT TABLOSU'!$B$8:$AA$30,HLOOKUP($F77,'ÇELİK HASIR-KESİT TABLOSU'!$B$5:$AA$8,3,FALSE)+3)*(IF(I77="d",2,1))</f>
        <v>3.35</v>
      </c>
      <c r="L77" s="239">
        <f>VLOOKUP($J77,'ÇELİK HASIR-KESİT TABLOSU'!$B$8:$AA$30,HLOOKUP($G77,'ÇELİK HASIR-KESİT TABLOSU'!$B$5:$AA$8,3,FALSE)+3)</f>
        <v>0.79</v>
      </c>
      <c r="M77" s="229">
        <f t="shared" si="5"/>
        <v>3.37</v>
      </c>
      <c r="N77" s="230">
        <f>ROUND((C77*P77*(VLOOKUP(H77,'ÇELİK HASIR-KESİT TABLOSU'!$B$8:$AA$30,2)))+(E77*O77*(VLOOKUP(J77,'ÇELİK HASIR-KESİT TABLOSU'!$B$8:$AA$30,2))),2)</f>
        <v>36.22</v>
      </c>
      <c r="O77" s="234">
        <f t="shared" si="6"/>
        <v>20</v>
      </c>
      <c r="P77" s="231">
        <f t="shared" si="7"/>
        <v>15</v>
      </c>
      <c r="Q77" s="232"/>
      <c r="R77" s="219">
        <f t="shared" si="9"/>
        <v>73</v>
      </c>
      <c r="S77" s="233" t="str">
        <f t="shared" si="8"/>
        <v>R335</v>
      </c>
    </row>
    <row r="78" spans="2:19">
      <c r="B78" s="237" t="s">
        <v>398</v>
      </c>
      <c r="C78" s="130">
        <v>5</v>
      </c>
      <c r="D78" s="127"/>
      <c r="E78" s="130">
        <v>2.15</v>
      </c>
      <c r="F78" s="234">
        <v>150</v>
      </c>
      <c r="G78" s="231">
        <v>250</v>
      </c>
      <c r="H78" s="235">
        <v>6</v>
      </c>
      <c r="I78" s="129" t="s">
        <v>365</v>
      </c>
      <c r="J78" s="236">
        <v>5</v>
      </c>
      <c r="K78" s="238">
        <f>VLOOKUP($H78,'ÇELİK HASIR-KESİT TABLOSU'!$B$8:$AA$30,HLOOKUP($F78,'ÇELİK HASIR-KESİT TABLOSU'!$B$5:$AA$8,3,FALSE)+3)*(IF(I78="d",2,1))</f>
        <v>3.76</v>
      </c>
      <c r="L78" s="239">
        <f>VLOOKUP($J78,'ÇELİK HASIR-KESİT TABLOSU'!$B$8:$AA$30,HLOOKUP($G78,'ÇELİK HASIR-KESİT TABLOSU'!$B$5:$AA$8,3,FALSE)+3)</f>
        <v>0.79</v>
      </c>
      <c r="M78" s="229">
        <f t="shared" si="5"/>
        <v>3.3</v>
      </c>
      <c r="N78" s="230">
        <f>ROUND((C78*P78*(VLOOKUP(H78,'ÇELİK HASIR-KESİT TABLOSU'!$B$8:$AA$30,2)))+(E78*O78*(VLOOKUP(J78,'ÇELİK HASIR-KESİT TABLOSU'!$B$8:$AA$30,2))),2)</f>
        <v>35.479999999999997</v>
      </c>
      <c r="O78" s="219">
        <f t="shared" si="6"/>
        <v>20</v>
      </c>
      <c r="P78" s="231">
        <f t="shared" si="7"/>
        <v>26</v>
      </c>
      <c r="Q78" s="232"/>
      <c r="R78" s="219">
        <f t="shared" si="9"/>
        <v>74</v>
      </c>
      <c r="S78" s="233" t="str">
        <f t="shared" si="8"/>
        <v>R377</v>
      </c>
    </row>
    <row r="79" spans="2:19">
      <c r="B79" s="237" t="s">
        <v>399</v>
      </c>
      <c r="C79" s="130">
        <v>5</v>
      </c>
      <c r="D79" s="127"/>
      <c r="E79" s="130">
        <v>2.15</v>
      </c>
      <c r="F79" s="234">
        <v>150</v>
      </c>
      <c r="G79" s="231">
        <v>250</v>
      </c>
      <c r="H79" s="235">
        <v>6.5</v>
      </c>
      <c r="I79" s="129" t="s">
        <v>365</v>
      </c>
      <c r="J79" s="236">
        <v>5.5</v>
      </c>
      <c r="K79" s="238">
        <f>VLOOKUP($H79,'ÇELİK HASIR-KESİT TABLOSU'!$B$8:$AA$30,HLOOKUP($F79,'ÇELİK HASIR-KESİT TABLOSU'!$B$5:$AA$8,3,FALSE)+3)*(IF(I79="d",2,1))</f>
        <v>4.42</v>
      </c>
      <c r="L79" s="239">
        <f>VLOOKUP($J79,'ÇELİK HASIR-KESİT TABLOSU'!$B$8:$AA$30,HLOOKUP($G79,'ÇELİK HASIR-KESİT TABLOSU'!$B$5:$AA$8,3,FALSE)+3)</f>
        <v>0.95</v>
      </c>
      <c r="M79" s="229">
        <f t="shared" si="5"/>
        <v>3.9</v>
      </c>
      <c r="N79" s="230">
        <f>ROUND((C79*P79*(VLOOKUP(H79,'ÇELİK HASIR-KESİT TABLOSU'!$B$8:$AA$30,2)))+(E79*O79*(VLOOKUP(J79,'ÇELİK HASIR-KESİT TABLOSU'!$B$8:$AA$30,2))),2)</f>
        <v>41.88</v>
      </c>
      <c r="O79" s="219">
        <f t="shared" si="6"/>
        <v>20</v>
      </c>
      <c r="P79" s="231">
        <f t="shared" si="7"/>
        <v>26</v>
      </c>
      <c r="Q79" s="232"/>
      <c r="R79" s="219">
        <f t="shared" si="9"/>
        <v>75</v>
      </c>
      <c r="S79" s="233" t="str">
        <f t="shared" si="8"/>
        <v>R443</v>
      </c>
    </row>
    <row r="80" spans="2:19">
      <c r="B80" s="237" t="s">
        <v>400</v>
      </c>
      <c r="C80" s="130">
        <v>5</v>
      </c>
      <c r="D80" s="127"/>
      <c r="E80" s="130">
        <v>2.15</v>
      </c>
      <c r="F80" s="234">
        <v>150</v>
      </c>
      <c r="G80" s="231">
        <v>250</v>
      </c>
      <c r="H80" s="235">
        <v>7</v>
      </c>
      <c r="I80" s="129" t="s">
        <v>365</v>
      </c>
      <c r="J80" s="236">
        <v>6</v>
      </c>
      <c r="K80" s="238">
        <f>VLOOKUP($H80,'ÇELİK HASIR-KESİT TABLOSU'!$B$8:$AA$30,HLOOKUP($F80,'ÇELİK HASIR-KESİT TABLOSU'!$B$5:$AA$8,3,FALSE)+3)*(IF(I80="d",2,1))</f>
        <v>5.14</v>
      </c>
      <c r="L80" s="239">
        <f>VLOOKUP($J80,'ÇELİK HASIR-KESİT TABLOSU'!$B$8:$AA$30,HLOOKUP($G80,'ÇELİK HASIR-KESİT TABLOSU'!$B$5:$AA$8,3,FALSE)+3)</f>
        <v>1.1299999999999999</v>
      </c>
      <c r="M80" s="229">
        <f t="shared" si="5"/>
        <v>4.54</v>
      </c>
      <c r="N80" s="230">
        <f>ROUND((C80*P80*(VLOOKUP(H80,'ÇELİK HASIR-KESİT TABLOSU'!$B$8:$AA$30,2)))+(E80*O80*(VLOOKUP(J80,'ÇELİK HASIR-KESİT TABLOSU'!$B$8:$AA$30,2))),2)</f>
        <v>48.82</v>
      </c>
      <c r="O80" s="219">
        <f t="shared" si="6"/>
        <v>20</v>
      </c>
      <c r="P80" s="231">
        <f t="shared" si="7"/>
        <v>26</v>
      </c>
      <c r="Q80" s="232"/>
      <c r="R80" s="219">
        <f t="shared" si="9"/>
        <v>76</v>
      </c>
      <c r="S80" s="233" t="str">
        <f t="shared" si="8"/>
        <v>R513</v>
      </c>
    </row>
    <row r="81" spans="2:19" ht="10.8" thickBot="1">
      <c r="B81" s="240" t="s">
        <v>401</v>
      </c>
      <c r="C81" s="241">
        <v>5</v>
      </c>
      <c r="D81" s="242"/>
      <c r="E81" s="241">
        <v>2.15</v>
      </c>
      <c r="F81" s="243">
        <v>150</v>
      </c>
      <c r="G81" s="244">
        <v>250</v>
      </c>
      <c r="H81" s="245">
        <v>7.5</v>
      </c>
      <c r="I81" s="246" t="s">
        <v>365</v>
      </c>
      <c r="J81" s="247">
        <v>6.5</v>
      </c>
      <c r="K81" s="248">
        <f>VLOOKUP($H81,'ÇELİK HASIR-KESİT TABLOSU'!$B$8:$AA$30,HLOOKUP($F81,'ÇELİK HASIR-KESİT TABLOSU'!$B$5:$AA$8,3,FALSE)+3)*(IF(I81="d",2,1))</f>
        <v>5.9</v>
      </c>
      <c r="L81" s="249">
        <f>VLOOKUP($J81,'ÇELİK HASIR-KESİT TABLOSU'!$B$8:$AA$30,HLOOKUP($G81,'ÇELİK HASIR-KESİT TABLOSU'!$B$5:$AA$8,3,FALSE)+3)</f>
        <v>1.33</v>
      </c>
      <c r="M81" s="250">
        <f t="shared" si="5"/>
        <v>5.24</v>
      </c>
      <c r="N81" s="251">
        <f>ROUND((C81*P81*(VLOOKUP(H81,'ÇELİK HASIR-KESİT TABLOSU'!$B$8:$AA$30,2)))+(E81*O81*(VLOOKUP(J81,'ÇELİK HASIR-KESİT TABLOSU'!$B$8:$AA$30,2))),2)</f>
        <v>56.29</v>
      </c>
      <c r="O81" s="252">
        <f t="shared" si="6"/>
        <v>20</v>
      </c>
      <c r="P81" s="244">
        <f t="shared" si="7"/>
        <v>26</v>
      </c>
      <c r="R81" s="252">
        <f t="shared" si="9"/>
        <v>77</v>
      </c>
      <c r="S81" s="253" t="str">
        <f t="shared" si="8"/>
        <v>R589</v>
      </c>
    </row>
    <row r="82" spans="2:19" ht="10.8" thickTop="1"/>
    <row r="83" spans="2:19">
      <c r="B83" s="224" t="s">
        <v>649</v>
      </c>
      <c r="C83" s="127">
        <v>4</v>
      </c>
      <c r="D83" s="127"/>
      <c r="E83" s="127">
        <v>2.15</v>
      </c>
      <c r="F83" s="234">
        <v>150</v>
      </c>
      <c r="G83" s="231">
        <v>150</v>
      </c>
      <c r="H83" s="235">
        <v>6.5</v>
      </c>
      <c r="I83" s="128"/>
      <c r="J83" s="236">
        <v>5.5</v>
      </c>
      <c r="K83" s="227">
        <f>VLOOKUP($H83,'ÇELİK HASIR-KESİT TABLOSU'!$B$8:$AA$30,HLOOKUP($F83,'ÇELİK HASIR-KESİT TABLOSU'!$B$5:$AA$8,3,FALSE)+3)*(IF(I83="d",2,1))</f>
        <v>2.21</v>
      </c>
      <c r="L83" s="228">
        <f>VLOOKUP($J83,'ÇELİK HASIR-KESİT TABLOSU'!$B$8:$AA$30,HLOOKUP($G83,'ÇELİK HASIR-KESİT TABLOSU'!$B$5:$AA$8,3,FALSE)+3)</f>
        <v>1.58</v>
      </c>
      <c r="M83" s="229">
        <f>ROUND(N83/(5*E83),2)</f>
        <v>2.42</v>
      </c>
      <c r="N83" s="230">
        <f>ROUND((C83*P83*(VLOOKUP(H83,'ÇELİK HASIR-KESİT TABLOSU'!$B$8:$AA$30,2)))+(E83*O83*(VLOOKUP(J83,'ÇELİK HASIR-KESİT TABLOSU'!$B$8:$AA$30,2))),2)</f>
        <v>26.05</v>
      </c>
      <c r="O83" s="219">
        <f>ROUND((((C83-(IF(MID(B83,1,1)="Q",0.2,0.25))-(IF(D83&lt;&gt;0,(IF(MID(B83,1,1)="Q",(D83-0.1),(D83-0.125))),0)))/(G83/1000)+1)),0)</f>
        <v>26</v>
      </c>
      <c r="P83" s="231">
        <f>ROUND((((E83-(0.05))/(F83/1000)+1)+(IF(I83="d",(IF(MID(B83,1,1)="Q",((E83-0.05-((F83/1000)*8))/(F83/1000))+1,((E83-0.05-((F83/1000)*4))/(F83/1000))+1)),0))),0)</f>
        <v>15</v>
      </c>
      <c r="Q83" s="232"/>
      <c r="R83" s="219">
        <f>R82+1</f>
        <v>1</v>
      </c>
      <c r="S83" s="233" t="str">
        <f>B83</f>
        <v>Q221/158-a</v>
      </c>
    </row>
    <row r="84" spans="2:19">
      <c r="B84" s="224" t="s">
        <v>650</v>
      </c>
      <c r="C84" s="127">
        <v>5</v>
      </c>
      <c r="D84" s="127">
        <v>0.7</v>
      </c>
      <c r="E84" s="127">
        <v>2.15</v>
      </c>
      <c r="F84" s="234">
        <v>150</v>
      </c>
      <c r="G84" s="231">
        <v>150</v>
      </c>
      <c r="H84" s="235">
        <v>6.5</v>
      </c>
      <c r="I84" s="128"/>
      <c r="J84" s="236">
        <v>5.5</v>
      </c>
      <c r="K84" s="227">
        <f>VLOOKUP($H84,'ÇELİK HASIR-KESİT TABLOSU'!$B$8:$AA$30,HLOOKUP($F84,'ÇELİK HASIR-KESİT TABLOSU'!$B$5:$AA$8,3,FALSE)+3)*(IF(I84="d",2,1))</f>
        <v>2.21</v>
      </c>
      <c r="L84" s="228">
        <f>VLOOKUP($J84,'ÇELİK HASIR-KESİT TABLOSU'!$B$8:$AA$30,HLOOKUP($G84,'ÇELİK HASIR-KESİT TABLOSU'!$B$5:$AA$8,3,FALSE)+3)</f>
        <v>1.58</v>
      </c>
      <c r="M84" s="229">
        <f>ROUND(N84/(5*E84),2)</f>
        <v>2.9</v>
      </c>
      <c r="N84" s="230">
        <f>ROUND((C84*P84*(VLOOKUP(H84,'ÇELİK HASIR-KESİT TABLOSU'!$B$8:$AA$30,2)))+(E84*O84*(VLOOKUP(J84,'ÇELİK HASIR-KESİT TABLOSU'!$B$8:$AA$30,2))),2)</f>
        <v>31.16</v>
      </c>
      <c r="O84" s="219">
        <f>ROUND((((C84-(IF(MID(B84,1,1)="Q",0.2,0.25))-(IF(D84&lt;&gt;0,(IF(MID(B84,1,1)="Q",(D84-0.1),(D84-0.125))),0)))/(G84/1000)+1)),0)</f>
        <v>29</v>
      </c>
      <c r="P84" s="231">
        <f>ROUND((((E84-(0.05))/(F84/1000)+1)+(IF(I84="d",(IF(MID(B84,1,1)="Q",((E84-0.05-((F84/1000)*8))/(F84/1000))+1,((E84-0.05-((F84/1000)*4))/(F84/1000))+1)),0))),0)</f>
        <v>15</v>
      </c>
      <c r="Q84" s="232"/>
      <c r="R84" s="219">
        <f>R83+1</f>
        <v>2</v>
      </c>
      <c r="S84" s="233" t="str">
        <f>B84</f>
        <v>Q221/158-b</v>
      </c>
    </row>
    <row r="85" spans="2:19">
      <c r="B85" s="224" t="s">
        <v>651</v>
      </c>
      <c r="C85" s="127">
        <v>5</v>
      </c>
      <c r="D85" s="127"/>
      <c r="E85" s="127">
        <v>2.15</v>
      </c>
      <c r="F85" s="234">
        <v>180</v>
      </c>
      <c r="G85" s="231">
        <v>180</v>
      </c>
      <c r="H85" s="235">
        <v>6.5</v>
      </c>
      <c r="I85" s="128"/>
      <c r="J85" s="236">
        <v>5.5</v>
      </c>
      <c r="K85" s="227">
        <f>VLOOKUP($H85,'ÇELİK HASIR-KESİT TABLOSU'!$B$8:$AA$30,HLOOKUP($F85,'ÇELİK HASIR-KESİT TABLOSU'!$B$5:$AA$8,3,FALSE)+3)*(IF(I85="d",2,1))</f>
        <v>1.84</v>
      </c>
      <c r="L85" s="228">
        <f>VLOOKUP($J85,'ÇELİK HASIR-KESİT TABLOSU'!$B$8:$AA$30,HLOOKUP($G85,'ÇELİK HASIR-KESİT TABLOSU'!$B$5:$AA$8,3,FALSE)+3)</f>
        <v>1.32</v>
      </c>
      <c r="M85" s="229">
        <f>ROUND(N85/(5*E85),2)</f>
        <v>2.62</v>
      </c>
      <c r="N85" s="230">
        <f>ROUND((C85*P85*(VLOOKUP(H85,'ÇELİK HASIR-KESİT TABLOSU'!$B$8:$AA$30,2)))+(E85*O85*(VLOOKUP(J85,'ÇELİK HASIR-KESİT TABLOSU'!$B$8:$AA$30,2))),2)</f>
        <v>28.16</v>
      </c>
      <c r="O85" s="219">
        <f>ROUND((((C85-(IF(MID(B85,1,1)="Q",0.2,0.25))-(IF(D85&lt;&gt;0,(IF(MID(B85,1,1)="Q",(D85-0.1),(D85-0.125))),0)))/(G85/1000)+1)),0)</f>
        <v>28</v>
      </c>
      <c r="P85" s="231">
        <f>ROUND((((E85-(0.05))/(F85/1000)+1)+(IF(I85="d",(IF(MID(B85,1,1)="Q",((E85-0.05-((F85/1000)*8))/(F85/1000))+1,((E85-0.05-((F85/1000)*4))/(F85/1000))+1)),0))),0)</f>
        <v>13</v>
      </c>
      <c r="Q85" s="232"/>
      <c r="R85" s="219">
        <f>R84+1</f>
        <v>3</v>
      </c>
      <c r="S85" s="233" t="str">
        <f>B85</f>
        <v>Q221/158-c</v>
      </c>
    </row>
    <row r="86" spans="2:19">
      <c r="B86" s="224" t="s">
        <v>652</v>
      </c>
      <c r="C86" s="127">
        <v>5</v>
      </c>
      <c r="D86" s="127">
        <v>0.85</v>
      </c>
      <c r="E86" s="127">
        <v>1.85</v>
      </c>
      <c r="F86" s="234">
        <v>150</v>
      </c>
      <c r="G86" s="231">
        <v>150</v>
      </c>
      <c r="H86" s="235">
        <v>6.5</v>
      </c>
      <c r="I86" s="128"/>
      <c r="J86" s="236">
        <v>5.5</v>
      </c>
      <c r="K86" s="227">
        <f>VLOOKUP($H86,'ÇELİK HASIR-KESİT TABLOSU'!$B$8:$AA$30,HLOOKUP($F86,'ÇELİK HASIR-KESİT TABLOSU'!$B$5:$AA$8,3,FALSE)+3)*(IF(I86="d",2,1))</f>
        <v>2.21</v>
      </c>
      <c r="L86" s="228">
        <f>VLOOKUP($J86,'ÇELİK HASIR-KESİT TABLOSU'!$B$8:$AA$30,HLOOKUP($G86,'ÇELİK HASIR-KESİT TABLOSU'!$B$5:$AA$8,3,FALSE)+3)</f>
        <v>1.58</v>
      </c>
      <c r="M86" s="229">
        <f>ROUND(N86/(5*E86),2)</f>
        <v>2.87</v>
      </c>
      <c r="N86" s="230">
        <f>ROUND((C86*P86*(VLOOKUP(H86,'ÇELİK HASIR-KESİT TABLOSU'!$B$8:$AA$30,2)))+(E86*O86*(VLOOKUP(J86,'ÇELİK HASIR-KESİT TABLOSU'!$B$8:$AA$30,2))),2)</f>
        <v>26.59</v>
      </c>
      <c r="O86" s="219">
        <f>ROUND((((C86-(IF(MID(B86,1,1)="Q",0.2,0.25))-(IF(D86&lt;&gt;0,(IF(MID(B86,1,1)="Q",(D86-0.1),(D86-0.125))),0)))/(G86/1000)+1)),0)</f>
        <v>28</v>
      </c>
      <c r="P86" s="231">
        <f>ROUND((((E86-(0.05))/(F86/1000)+1)+(IF(I86="d",(IF(MID(B86,1,1)="Q",((E86-0.05-((F86/1000)*8))/(F86/1000))+1,((E86-0.05-((F86/1000)*4))/(F86/1000))+1)),0))),0)</f>
        <v>13</v>
      </c>
      <c r="Q86" s="232"/>
      <c r="R86" s="219">
        <f>R85+1</f>
        <v>4</v>
      </c>
      <c r="S86" s="233" t="str">
        <f>B86</f>
        <v>Q221/158-d</v>
      </c>
    </row>
  </sheetData>
  <customSheetViews>
    <customSheetView guid="{C0BE45DA-73C0-4B1E-ABFB-A0FAB57D4E46}" showGridLines="0" zeroValues="0" showRuler="0">
      <pane xSplit="1" ySplit="5" topLeftCell="B6" activePane="bottomRight" state="frozen"/>
      <selection pane="bottomRight" activeCell="G89" sqref="G89"/>
      <pageMargins left="0.75" right="0.75" top="1" bottom="1" header="0.5" footer="0.5"/>
      <pageSetup paperSize="9" scale="86" orientation="landscape" r:id="rId1"/>
      <headerFooter alignWithMargins="0"/>
    </customSheetView>
  </customSheetViews>
  <mergeCells count="9">
    <mergeCell ref="C3:E3"/>
    <mergeCell ref="F3:G3"/>
    <mergeCell ref="H3:J3"/>
    <mergeCell ref="K3:L3"/>
    <mergeCell ref="B1:P1"/>
    <mergeCell ref="C2:E2"/>
    <mergeCell ref="F2:G2"/>
    <mergeCell ref="H2:J2"/>
    <mergeCell ref="K2:L2"/>
  </mergeCells>
  <phoneticPr fontId="2" type="noConversion"/>
  <conditionalFormatting sqref="D5:D81 D83:D86">
    <cfRule type="cellIs" dxfId="0" priority="1" stopIfTrue="1" operator="lessThan">
      <formula>0</formula>
    </cfRule>
  </conditionalFormatting>
  <pageMargins left="0.94488188976377963" right="0.35433070866141736" top="0.98425196850393704" bottom="0.39370078740157483" header="0.51181102362204722" footer="0.51181102362204722"/>
  <pageSetup paperSize="9" scale="64" orientation="portrait" r:id="rId2"/>
  <headerFooter alignWithMargins="0"/>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3"/>
  </sheetPr>
  <dimension ref="B1:J27"/>
  <sheetViews>
    <sheetView showGridLines="0" workbookViewId="0">
      <selection activeCell="H37" sqref="H37"/>
    </sheetView>
  </sheetViews>
  <sheetFormatPr defaultRowHeight="13.2"/>
  <cols>
    <col min="1" max="1" width="2.6640625" customWidth="1"/>
    <col min="2" max="10" width="8.6640625" customWidth="1"/>
    <col min="11" max="11" width="10.6640625" customWidth="1"/>
  </cols>
  <sheetData>
    <row r="1" spans="2:10" ht="20.100000000000001" customHeight="1" thickTop="1">
      <c r="B1" s="455" t="s">
        <v>25</v>
      </c>
      <c r="C1" s="456"/>
      <c r="D1" s="456"/>
      <c r="E1" s="456"/>
      <c r="F1" s="456"/>
      <c r="G1" s="456"/>
      <c r="H1" s="456"/>
      <c r="I1" s="456"/>
      <c r="J1" s="457"/>
    </row>
    <row r="2" spans="2:10" ht="15" customHeight="1">
      <c r="B2" s="466" t="s">
        <v>16</v>
      </c>
      <c r="C2" s="15" t="s">
        <v>18</v>
      </c>
      <c r="D2" s="15" t="s">
        <v>17</v>
      </c>
      <c r="E2" s="15" t="s">
        <v>20</v>
      </c>
      <c r="F2" s="15" t="s">
        <v>19</v>
      </c>
      <c r="G2" s="15" t="s">
        <v>21</v>
      </c>
      <c r="H2" s="15" t="s">
        <v>2</v>
      </c>
      <c r="I2" s="15" t="s">
        <v>0</v>
      </c>
      <c r="J2" s="16" t="s">
        <v>7</v>
      </c>
    </row>
    <row r="3" spans="2:10" ht="15" customHeight="1">
      <c r="B3" s="466"/>
      <c r="C3" s="15" t="s">
        <v>22</v>
      </c>
      <c r="D3" s="15" t="s">
        <v>22</v>
      </c>
      <c r="E3" s="15" t="s">
        <v>22</v>
      </c>
      <c r="F3" s="15" t="s">
        <v>22</v>
      </c>
      <c r="G3" s="15" t="s">
        <v>22</v>
      </c>
      <c r="H3" s="15" t="s">
        <v>3</v>
      </c>
      <c r="I3" s="15" t="s">
        <v>23</v>
      </c>
      <c r="J3" s="16" t="s">
        <v>24</v>
      </c>
    </row>
    <row r="4" spans="2:10" ht="15" customHeight="1">
      <c r="B4" s="67">
        <v>80</v>
      </c>
      <c r="C4" s="2">
        <v>80</v>
      </c>
      <c r="D4" s="2">
        <v>42</v>
      </c>
      <c r="E4" s="17">
        <v>3.9</v>
      </c>
      <c r="F4" s="17">
        <v>5.9</v>
      </c>
      <c r="G4" s="17">
        <v>2.2999999999999998</v>
      </c>
      <c r="H4" s="19">
        <v>7.57</v>
      </c>
      <c r="I4" s="19">
        <v>5.94</v>
      </c>
      <c r="J4" s="21">
        <v>0.30399999999999999</v>
      </c>
    </row>
    <row r="5" spans="2:10" ht="15" customHeight="1">
      <c r="B5" s="67">
        <v>100</v>
      </c>
      <c r="C5" s="2">
        <v>100</v>
      </c>
      <c r="D5" s="2">
        <v>50</v>
      </c>
      <c r="E5" s="17">
        <v>4.5</v>
      </c>
      <c r="F5" s="17">
        <v>6.8</v>
      </c>
      <c r="G5" s="17">
        <v>2.7</v>
      </c>
      <c r="H5" s="19">
        <v>10.6</v>
      </c>
      <c r="I5" s="19">
        <v>8.34</v>
      </c>
      <c r="J5" s="21">
        <v>0.37</v>
      </c>
    </row>
    <row r="6" spans="2:10" ht="15" customHeight="1">
      <c r="B6" s="67">
        <v>120</v>
      </c>
      <c r="C6" s="2">
        <v>120</v>
      </c>
      <c r="D6" s="2">
        <v>58</v>
      </c>
      <c r="E6" s="17">
        <v>5.0999999999999996</v>
      </c>
      <c r="F6" s="17">
        <v>7.7</v>
      </c>
      <c r="G6" s="17">
        <v>3.1</v>
      </c>
      <c r="H6" s="19">
        <v>14.2</v>
      </c>
      <c r="I6" s="19">
        <v>11.2</v>
      </c>
      <c r="J6" s="21">
        <v>0.439</v>
      </c>
    </row>
    <row r="7" spans="2:10" ht="15" customHeight="1">
      <c r="B7" s="67">
        <v>140</v>
      </c>
      <c r="C7" s="2">
        <v>140</v>
      </c>
      <c r="D7" s="2">
        <v>66</v>
      </c>
      <c r="E7" s="17">
        <v>5.7</v>
      </c>
      <c r="F7" s="17">
        <v>8.6</v>
      </c>
      <c r="G7" s="17">
        <v>3.4</v>
      </c>
      <c r="H7" s="19">
        <v>18.2</v>
      </c>
      <c r="I7" s="19">
        <v>14.3</v>
      </c>
      <c r="J7" s="21">
        <v>0.502</v>
      </c>
    </row>
    <row r="8" spans="2:10" ht="15" customHeight="1">
      <c r="B8" s="67">
        <v>160</v>
      </c>
      <c r="C8" s="2">
        <v>160</v>
      </c>
      <c r="D8" s="2">
        <v>74</v>
      </c>
      <c r="E8" s="17">
        <v>6.3</v>
      </c>
      <c r="F8" s="17">
        <v>9.5</v>
      </c>
      <c r="G8" s="17">
        <v>3.8</v>
      </c>
      <c r="H8" s="19">
        <v>22.8</v>
      </c>
      <c r="I8" s="19">
        <v>17.899999999999999</v>
      </c>
      <c r="J8" s="21">
        <v>0.57499999999999996</v>
      </c>
    </row>
    <row r="9" spans="2:10" ht="15" customHeight="1">
      <c r="B9" s="67">
        <v>180</v>
      </c>
      <c r="C9" s="2">
        <v>180</v>
      </c>
      <c r="D9" s="2">
        <v>82</v>
      </c>
      <c r="E9" s="17">
        <v>6.9</v>
      </c>
      <c r="F9" s="17">
        <v>10.4</v>
      </c>
      <c r="G9" s="17">
        <v>4.0999999999999996</v>
      </c>
      <c r="H9" s="19">
        <v>27.9</v>
      </c>
      <c r="I9" s="19">
        <v>21.9</v>
      </c>
      <c r="J9" s="21">
        <v>0.64</v>
      </c>
    </row>
    <row r="10" spans="2:10" ht="15" customHeight="1">
      <c r="B10" s="67">
        <v>200</v>
      </c>
      <c r="C10" s="2">
        <v>200</v>
      </c>
      <c r="D10" s="2">
        <v>90</v>
      </c>
      <c r="E10" s="17">
        <v>7.5</v>
      </c>
      <c r="F10" s="17">
        <v>11.3</v>
      </c>
      <c r="G10" s="17">
        <v>4.5</v>
      </c>
      <c r="H10" s="19">
        <v>33.5</v>
      </c>
      <c r="I10" s="19">
        <v>26.2</v>
      </c>
      <c r="J10" s="21">
        <v>0.70899999999999996</v>
      </c>
    </row>
    <row r="11" spans="2:10" ht="15" customHeight="1">
      <c r="B11" s="67">
        <v>220</v>
      </c>
      <c r="C11" s="2">
        <v>220</v>
      </c>
      <c r="D11" s="2">
        <v>98</v>
      </c>
      <c r="E11" s="17">
        <v>8.1</v>
      </c>
      <c r="F11" s="17">
        <v>12.2</v>
      </c>
      <c r="G11" s="17">
        <v>4.9000000000000004</v>
      </c>
      <c r="H11" s="19">
        <v>39.5</v>
      </c>
      <c r="I11" s="19">
        <v>31.1</v>
      </c>
      <c r="J11" s="21">
        <v>0.77500000000000002</v>
      </c>
    </row>
    <row r="12" spans="2:10" ht="15" customHeight="1">
      <c r="B12" s="67">
        <v>240</v>
      </c>
      <c r="C12" s="2">
        <v>240</v>
      </c>
      <c r="D12" s="2">
        <v>106</v>
      </c>
      <c r="E12" s="17">
        <v>8.6999999999999993</v>
      </c>
      <c r="F12" s="17">
        <v>13.1</v>
      </c>
      <c r="G12" s="17">
        <v>5.2</v>
      </c>
      <c r="H12" s="19">
        <v>46.1</v>
      </c>
      <c r="I12" s="19">
        <v>36.200000000000003</v>
      </c>
      <c r="J12" s="21">
        <v>0.84399999999999997</v>
      </c>
    </row>
    <row r="13" spans="2:10" ht="15" customHeight="1">
      <c r="B13" s="67">
        <v>260</v>
      </c>
      <c r="C13" s="2">
        <v>260</v>
      </c>
      <c r="D13" s="2">
        <v>113</v>
      </c>
      <c r="E13" s="17">
        <v>9.4</v>
      </c>
      <c r="F13" s="17">
        <v>14.1</v>
      </c>
      <c r="G13" s="17">
        <v>5.6</v>
      </c>
      <c r="H13" s="19">
        <v>53.3</v>
      </c>
      <c r="I13" s="19">
        <v>41.9</v>
      </c>
      <c r="J13" s="21">
        <v>0.9</v>
      </c>
    </row>
    <row r="14" spans="2:10" ht="15" customHeight="1">
      <c r="B14" s="67">
        <v>280</v>
      </c>
      <c r="C14" s="2">
        <v>280</v>
      </c>
      <c r="D14" s="2">
        <v>119</v>
      </c>
      <c r="E14" s="17">
        <v>10.1</v>
      </c>
      <c r="F14" s="17">
        <v>15.2</v>
      </c>
      <c r="G14" s="17">
        <v>6.1</v>
      </c>
      <c r="H14" s="19">
        <v>61</v>
      </c>
      <c r="I14" s="19">
        <v>47.9</v>
      </c>
      <c r="J14" s="21">
        <v>0.96599999999999997</v>
      </c>
    </row>
    <row r="15" spans="2:10" ht="15" customHeight="1">
      <c r="B15" s="67">
        <v>300</v>
      </c>
      <c r="C15" s="2">
        <v>300</v>
      </c>
      <c r="D15" s="2">
        <v>125</v>
      </c>
      <c r="E15" s="17">
        <v>10.8</v>
      </c>
      <c r="F15" s="17">
        <v>16.2</v>
      </c>
      <c r="G15" s="17">
        <v>6.5</v>
      </c>
      <c r="H15" s="19">
        <v>69</v>
      </c>
      <c r="I15" s="19">
        <v>54.2</v>
      </c>
      <c r="J15" s="21">
        <v>1.03</v>
      </c>
    </row>
    <row r="16" spans="2:10" ht="15" customHeight="1">
      <c r="B16" s="67">
        <v>320</v>
      </c>
      <c r="C16" s="2">
        <v>320</v>
      </c>
      <c r="D16" s="23">
        <v>131</v>
      </c>
      <c r="E16" s="28">
        <v>11.5</v>
      </c>
      <c r="F16" s="17">
        <v>17.3</v>
      </c>
      <c r="G16" s="28">
        <v>6.9</v>
      </c>
      <c r="H16" s="24">
        <v>77.7</v>
      </c>
      <c r="I16" s="24">
        <v>61</v>
      </c>
      <c r="J16" s="25">
        <v>1.0900000000000001</v>
      </c>
    </row>
    <row r="17" spans="2:10" ht="15" customHeight="1">
      <c r="B17" s="67">
        <v>340</v>
      </c>
      <c r="C17" s="2">
        <v>340</v>
      </c>
      <c r="D17" s="23">
        <v>127</v>
      </c>
      <c r="E17" s="28">
        <v>12.2</v>
      </c>
      <c r="F17" s="17">
        <v>18.3</v>
      </c>
      <c r="G17" s="28">
        <v>7.3</v>
      </c>
      <c r="H17" s="24">
        <v>86.7</v>
      </c>
      <c r="I17" s="24">
        <v>68</v>
      </c>
      <c r="J17" s="25">
        <v>1.1499999999999999</v>
      </c>
    </row>
    <row r="18" spans="2:10" ht="15" customHeight="1">
      <c r="B18" s="67">
        <v>360</v>
      </c>
      <c r="C18" s="2">
        <v>360</v>
      </c>
      <c r="D18" s="23">
        <v>143</v>
      </c>
      <c r="E18" s="28">
        <v>13</v>
      </c>
      <c r="F18" s="17">
        <v>19.5</v>
      </c>
      <c r="G18" s="28">
        <v>7.8</v>
      </c>
      <c r="H18" s="24">
        <v>97</v>
      </c>
      <c r="I18" s="24">
        <v>76.099999999999994</v>
      </c>
      <c r="J18" s="25">
        <v>1.21</v>
      </c>
    </row>
    <row r="19" spans="2:10" ht="15" customHeight="1">
      <c r="B19" s="67">
        <v>380</v>
      </c>
      <c r="C19" s="2">
        <v>380</v>
      </c>
      <c r="D19" s="2">
        <v>149</v>
      </c>
      <c r="E19" s="17">
        <v>13.7</v>
      </c>
      <c r="F19" s="17">
        <v>20.5</v>
      </c>
      <c r="G19" s="17">
        <v>8.1999999999999993</v>
      </c>
      <c r="H19" s="19">
        <v>107</v>
      </c>
      <c r="I19" s="19">
        <v>84</v>
      </c>
      <c r="J19" s="21">
        <v>1.27</v>
      </c>
    </row>
    <row r="20" spans="2:10" ht="15" customHeight="1">
      <c r="B20" s="70">
        <v>400</v>
      </c>
      <c r="C20" s="26">
        <v>400</v>
      </c>
      <c r="D20" s="2">
        <v>155</v>
      </c>
      <c r="E20" s="17">
        <v>14.4</v>
      </c>
      <c r="F20" s="17">
        <v>21.6</v>
      </c>
      <c r="G20" s="17">
        <v>8.6</v>
      </c>
      <c r="H20" s="19">
        <v>118</v>
      </c>
      <c r="I20" s="19">
        <v>92.4</v>
      </c>
      <c r="J20" s="21">
        <v>1.33</v>
      </c>
    </row>
    <row r="21" spans="2:10" ht="15" customHeight="1">
      <c r="B21" s="70">
        <v>425</v>
      </c>
      <c r="C21" s="26">
        <v>425</v>
      </c>
      <c r="D21" s="2">
        <v>163</v>
      </c>
      <c r="E21" s="17">
        <v>15.3</v>
      </c>
      <c r="F21" s="17">
        <v>23</v>
      </c>
      <c r="G21" s="17">
        <v>9.1999999999999993</v>
      </c>
      <c r="H21" s="19">
        <v>132</v>
      </c>
      <c r="I21" s="19">
        <v>104</v>
      </c>
      <c r="J21" s="21">
        <v>1.41</v>
      </c>
    </row>
    <row r="22" spans="2:10" ht="15" customHeight="1">
      <c r="B22" s="70">
        <v>450</v>
      </c>
      <c r="C22" s="26">
        <v>450</v>
      </c>
      <c r="D22" s="2">
        <v>170</v>
      </c>
      <c r="E22" s="17">
        <v>16.2</v>
      </c>
      <c r="F22" s="17">
        <v>24.3</v>
      </c>
      <c r="G22" s="17">
        <v>9.6999999999999993</v>
      </c>
      <c r="H22" s="19">
        <v>147</v>
      </c>
      <c r="I22" s="19">
        <v>115</v>
      </c>
      <c r="J22" s="21">
        <v>1.48</v>
      </c>
    </row>
    <row r="23" spans="2:10" ht="15" customHeight="1">
      <c r="B23" s="70">
        <v>475</v>
      </c>
      <c r="C23" s="26">
        <v>475</v>
      </c>
      <c r="D23" s="2">
        <v>178</v>
      </c>
      <c r="E23" s="17">
        <v>17.100000000000001</v>
      </c>
      <c r="F23" s="17">
        <v>25.6</v>
      </c>
      <c r="G23" s="17">
        <v>10.3</v>
      </c>
      <c r="H23" s="19">
        <v>163</v>
      </c>
      <c r="I23" s="19">
        <v>128</v>
      </c>
      <c r="J23" s="21">
        <v>1.55</v>
      </c>
    </row>
    <row r="24" spans="2:10" ht="15" customHeight="1">
      <c r="B24" s="70">
        <v>500</v>
      </c>
      <c r="C24" s="26">
        <v>500</v>
      </c>
      <c r="D24" s="2">
        <v>185</v>
      </c>
      <c r="E24" s="17">
        <v>18</v>
      </c>
      <c r="F24" s="17">
        <v>27</v>
      </c>
      <c r="G24" s="17">
        <v>10.8</v>
      </c>
      <c r="H24" s="19">
        <v>179</v>
      </c>
      <c r="I24" s="19">
        <v>141</v>
      </c>
      <c r="J24" s="21">
        <v>1.63</v>
      </c>
    </row>
    <row r="25" spans="2:10" ht="15" customHeight="1">
      <c r="B25" s="70">
        <v>550</v>
      </c>
      <c r="C25" s="26">
        <v>550</v>
      </c>
      <c r="D25" s="2">
        <v>200</v>
      </c>
      <c r="E25" s="17">
        <v>19</v>
      </c>
      <c r="F25" s="17">
        <v>30</v>
      </c>
      <c r="G25" s="17">
        <v>11.9</v>
      </c>
      <c r="H25" s="19">
        <v>212</v>
      </c>
      <c r="I25" s="19">
        <v>166</v>
      </c>
      <c r="J25" s="21">
        <v>1.8</v>
      </c>
    </row>
    <row r="26" spans="2:10" ht="13.8" thickBot="1">
      <c r="B26" s="71">
        <v>600</v>
      </c>
      <c r="C26" s="27">
        <v>600</v>
      </c>
      <c r="D26" s="12">
        <v>215</v>
      </c>
      <c r="E26" s="18">
        <v>21.6</v>
      </c>
      <c r="F26" s="18">
        <v>32.4</v>
      </c>
      <c r="G26" s="18">
        <v>13</v>
      </c>
      <c r="H26" s="20">
        <v>254</v>
      </c>
      <c r="I26" s="20">
        <v>199</v>
      </c>
      <c r="J26" s="22">
        <v>1.92</v>
      </c>
    </row>
    <row r="27" spans="2:10" ht="13.8" thickTop="1"/>
  </sheetData>
  <customSheetViews>
    <customSheetView guid="{C0BE45DA-73C0-4B1E-ABFB-A0FAB57D4E46}" showGridLines="0" showRuler="0">
      <selection activeCell="B3" sqref="B3:B4"/>
      <pageMargins left="0.75" right="0.75" top="1" bottom="1" header="0.5" footer="0.5"/>
      <headerFooter alignWithMargins="0"/>
    </customSheetView>
  </customSheetViews>
  <mergeCells count="2">
    <mergeCell ref="B1:J1"/>
    <mergeCell ref="B2:B3"/>
  </mergeCells>
  <phoneticPr fontId="2" type="noConversion"/>
  <pageMargins left="0.94488188976377963" right="0.35433070866141736" top="0.98425196850393704" bottom="0.39370078740157483" header="0.51181102362204722" footer="0.51181102362204722"/>
  <pageSetup paperSize="9" orientation="portrait" horizontalDpi="4294967293" verticalDpi="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0"/>
  </sheetPr>
  <dimension ref="B1:Q42"/>
  <sheetViews>
    <sheetView showGridLines="0" workbookViewId="0">
      <selection activeCell="L15" sqref="L15"/>
    </sheetView>
  </sheetViews>
  <sheetFormatPr defaultRowHeight="13.2"/>
  <cols>
    <col min="1" max="1" width="2.6640625" customWidth="1"/>
    <col min="2" max="8" width="8.6640625" customWidth="1"/>
  </cols>
  <sheetData>
    <row r="1" spans="2:17" ht="20.100000000000001" customHeight="1" thickTop="1" thickBot="1">
      <c r="B1" s="455" t="s">
        <v>30</v>
      </c>
      <c r="C1" s="456"/>
      <c r="D1" s="456"/>
      <c r="E1" s="456"/>
      <c r="F1" s="456"/>
      <c r="G1" s="456"/>
      <c r="H1" s="456"/>
      <c r="I1" s="456"/>
      <c r="J1" s="457"/>
    </row>
    <row r="2" spans="2:17" ht="15" customHeight="1">
      <c r="B2" s="466" t="s">
        <v>7</v>
      </c>
      <c r="C2" s="15" t="s">
        <v>18</v>
      </c>
      <c r="D2" s="15" t="s">
        <v>17</v>
      </c>
      <c r="E2" s="15" t="s">
        <v>35</v>
      </c>
      <c r="F2" s="15" t="s">
        <v>19</v>
      </c>
      <c r="G2" s="15" t="s">
        <v>21</v>
      </c>
      <c r="H2" s="15" t="s">
        <v>2</v>
      </c>
      <c r="I2" s="15" t="s">
        <v>0</v>
      </c>
      <c r="J2" s="16" t="s">
        <v>7</v>
      </c>
      <c r="O2" s="291" t="s">
        <v>801</v>
      </c>
      <c r="P2" s="292"/>
      <c r="Q2" s="293"/>
    </row>
    <row r="3" spans="2:17" ht="15" customHeight="1">
      <c r="B3" s="466"/>
      <c r="C3" s="15" t="s">
        <v>22</v>
      </c>
      <c r="D3" s="15" t="s">
        <v>22</v>
      </c>
      <c r="E3" s="15" t="s">
        <v>22</v>
      </c>
      <c r="F3" s="15" t="s">
        <v>22</v>
      </c>
      <c r="G3" s="15" t="s">
        <v>22</v>
      </c>
      <c r="H3" s="15" t="s">
        <v>3</v>
      </c>
      <c r="I3" s="15" t="s">
        <v>23</v>
      </c>
      <c r="J3" s="16" t="s">
        <v>24</v>
      </c>
      <c r="O3" s="294" t="s">
        <v>802</v>
      </c>
      <c r="P3" s="295"/>
      <c r="Q3" s="296"/>
    </row>
    <row r="4" spans="2:17" ht="15" customHeight="1" thickBot="1">
      <c r="B4" s="67" t="s">
        <v>26</v>
      </c>
      <c r="C4" s="2">
        <v>30</v>
      </c>
      <c r="D4" s="2">
        <v>15</v>
      </c>
      <c r="E4" s="2">
        <v>4</v>
      </c>
      <c r="F4" s="2">
        <v>4.5</v>
      </c>
      <c r="G4" s="2">
        <v>2</v>
      </c>
      <c r="H4" s="19">
        <v>2.21</v>
      </c>
      <c r="I4" s="19">
        <v>1.74</v>
      </c>
      <c r="J4" s="21">
        <v>0.10299999999999999</v>
      </c>
      <c r="O4" s="297" t="s">
        <v>803</v>
      </c>
      <c r="P4" s="298"/>
      <c r="Q4" s="299"/>
    </row>
    <row r="5" spans="2:17" ht="15" customHeight="1">
      <c r="B5" s="67">
        <v>30</v>
      </c>
      <c r="C5" s="2">
        <v>30</v>
      </c>
      <c r="D5" s="2">
        <v>33</v>
      </c>
      <c r="E5" s="2">
        <v>5</v>
      </c>
      <c r="F5" s="2">
        <v>7</v>
      </c>
      <c r="G5" s="2">
        <v>3.5</v>
      </c>
      <c r="H5" s="19">
        <v>5.44</v>
      </c>
      <c r="I5" s="19">
        <v>4.2699999999999996</v>
      </c>
      <c r="J5" s="21">
        <v>0.17399999999999999</v>
      </c>
    </row>
    <row r="6" spans="2:17" ht="15" customHeight="1">
      <c r="B6" s="67" t="s">
        <v>27</v>
      </c>
      <c r="C6" s="2">
        <v>40</v>
      </c>
      <c r="D6" s="2">
        <v>20</v>
      </c>
      <c r="E6" s="2">
        <v>5</v>
      </c>
      <c r="F6" s="2">
        <v>5.5</v>
      </c>
      <c r="G6" s="2">
        <v>2.5</v>
      </c>
      <c r="H6" s="19">
        <v>3.66</v>
      </c>
      <c r="I6" s="19">
        <v>2.87</v>
      </c>
      <c r="J6" s="21">
        <v>0.14199999999999999</v>
      </c>
    </row>
    <row r="7" spans="2:17" ht="15" customHeight="1">
      <c r="B7" s="67">
        <v>40</v>
      </c>
      <c r="C7" s="2">
        <v>40</v>
      </c>
      <c r="D7" s="2">
        <v>35</v>
      </c>
      <c r="E7" s="2">
        <v>5</v>
      </c>
      <c r="F7" s="2">
        <v>7</v>
      </c>
      <c r="G7" s="2">
        <v>3.5</v>
      </c>
      <c r="H7" s="19">
        <v>6.21</v>
      </c>
      <c r="I7" s="19">
        <v>4.87</v>
      </c>
      <c r="J7" s="21">
        <v>0.19900000000000001</v>
      </c>
    </row>
    <row r="8" spans="2:17" ht="15" customHeight="1">
      <c r="B8" s="67" t="s">
        <v>28</v>
      </c>
      <c r="C8" s="2">
        <v>50</v>
      </c>
      <c r="D8" s="2">
        <v>25</v>
      </c>
      <c r="E8" s="2">
        <v>5</v>
      </c>
      <c r="F8" s="2">
        <v>6</v>
      </c>
      <c r="G8" s="2">
        <v>3</v>
      </c>
      <c r="H8" s="19">
        <v>4.92</v>
      </c>
      <c r="I8" s="19">
        <v>3.86</v>
      </c>
      <c r="J8" s="21">
        <v>0.18099999999999999</v>
      </c>
    </row>
    <row r="9" spans="2:17" ht="15" customHeight="1">
      <c r="B9" s="67">
        <v>50</v>
      </c>
      <c r="C9" s="2">
        <v>50</v>
      </c>
      <c r="D9" s="2">
        <v>38</v>
      </c>
      <c r="E9" s="2">
        <v>5</v>
      </c>
      <c r="F9" s="2">
        <v>7</v>
      </c>
      <c r="G9" s="2">
        <v>3.5</v>
      </c>
      <c r="H9" s="19">
        <v>7.12</v>
      </c>
      <c r="I9" s="19">
        <v>5.59</v>
      </c>
      <c r="J9" s="21">
        <v>0.23200000000000001</v>
      </c>
    </row>
    <row r="10" spans="2:17" ht="15" customHeight="1">
      <c r="B10" s="67">
        <v>60</v>
      </c>
      <c r="C10" s="2">
        <v>60</v>
      </c>
      <c r="D10" s="2">
        <v>30</v>
      </c>
      <c r="E10" s="2">
        <v>6</v>
      </c>
      <c r="F10" s="2">
        <v>6</v>
      </c>
      <c r="G10" s="2">
        <v>3</v>
      </c>
      <c r="H10" s="19">
        <v>6.46</v>
      </c>
      <c r="I10" s="19">
        <v>5.07</v>
      </c>
      <c r="J10" s="21">
        <v>0.215</v>
      </c>
    </row>
    <row r="11" spans="2:17" ht="15" customHeight="1">
      <c r="B11" s="67">
        <v>65</v>
      </c>
      <c r="C11" s="2">
        <v>65</v>
      </c>
      <c r="D11" s="2">
        <v>42</v>
      </c>
      <c r="E11" s="2">
        <v>5.5</v>
      </c>
      <c r="F11" s="2">
        <v>7.5</v>
      </c>
      <c r="G11" s="2">
        <v>4</v>
      </c>
      <c r="H11" s="19">
        <v>9.0299999999999994</v>
      </c>
      <c r="I11" s="19">
        <v>7.09</v>
      </c>
      <c r="J11" s="21">
        <v>0.27300000000000002</v>
      </c>
    </row>
    <row r="12" spans="2:17" ht="15" customHeight="1">
      <c r="B12" s="67">
        <v>80</v>
      </c>
      <c r="C12" s="2">
        <v>80</v>
      </c>
      <c r="D12" s="2">
        <v>45</v>
      </c>
      <c r="E12" s="2">
        <v>6</v>
      </c>
      <c r="F12" s="2">
        <v>8</v>
      </c>
      <c r="G12" s="2">
        <v>4</v>
      </c>
      <c r="H12" s="19">
        <v>11</v>
      </c>
      <c r="I12" s="19">
        <v>8.64</v>
      </c>
      <c r="J12" s="21">
        <v>0.312</v>
      </c>
    </row>
    <row r="13" spans="2:17" ht="15" customHeight="1">
      <c r="B13" s="67">
        <v>100</v>
      </c>
      <c r="C13" s="2">
        <v>100</v>
      </c>
      <c r="D13" s="2">
        <v>50</v>
      </c>
      <c r="E13" s="2">
        <v>6</v>
      </c>
      <c r="F13" s="2">
        <v>8.5</v>
      </c>
      <c r="G13" s="2">
        <v>4.5</v>
      </c>
      <c r="H13" s="19">
        <v>13.5</v>
      </c>
      <c r="I13" s="19">
        <v>10.6</v>
      </c>
      <c r="J13" s="21">
        <v>0.372</v>
      </c>
    </row>
    <row r="14" spans="2:17" ht="15" customHeight="1">
      <c r="B14" s="67">
        <v>120</v>
      </c>
      <c r="C14" s="2">
        <v>120</v>
      </c>
      <c r="D14" s="2">
        <v>55</v>
      </c>
      <c r="E14" s="2">
        <v>7</v>
      </c>
      <c r="F14" s="2">
        <v>9</v>
      </c>
      <c r="G14" s="2">
        <v>4.5</v>
      </c>
      <c r="H14" s="19">
        <v>17</v>
      </c>
      <c r="I14" s="19">
        <v>13.4</v>
      </c>
      <c r="J14" s="21">
        <v>0.434</v>
      </c>
    </row>
    <row r="15" spans="2:17" ht="15" customHeight="1">
      <c r="B15" s="67">
        <v>140</v>
      </c>
      <c r="C15" s="2">
        <v>140</v>
      </c>
      <c r="D15" s="2">
        <v>60</v>
      </c>
      <c r="E15" s="2">
        <v>7</v>
      </c>
      <c r="F15" s="2">
        <v>10</v>
      </c>
      <c r="G15" s="2">
        <v>5</v>
      </c>
      <c r="H15" s="19">
        <v>20.399999999999999</v>
      </c>
      <c r="I15" s="19">
        <v>16</v>
      </c>
      <c r="J15" s="21">
        <v>0.48899999999999999</v>
      </c>
    </row>
    <row r="16" spans="2:17" ht="15" customHeight="1">
      <c r="B16" s="67">
        <v>160</v>
      </c>
      <c r="C16" s="2">
        <v>160</v>
      </c>
      <c r="D16" s="2">
        <v>65</v>
      </c>
      <c r="E16" s="2">
        <v>7.5</v>
      </c>
      <c r="F16" s="2">
        <v>10.5</v>
      </c>
      <c r="G16" s="2">
        <v>5.5</v>
      </c>
      <c r="H16" s="19">
        <v>24</v>
      </c>
      <c r="I16" s="19">
        <v>18.8</v>
      </c>
      <c r="J16" s="21">
        <v>0.54600000000000004</v>
      </c>
    </row>
    <row r="17" spans="2:10" ht="15" customHeight="1">
      <c r="B17" s="67">
        <v>180</v>
      </c>
      <c r="C17" s="2">
        <v>180</v>
      </c>
      <c r="D17" s="2">
        <v>70</v>
      </c>
      <c r="E17" s="2">
        <v>8</v>
      </c>
      <c r="F17" s="2">
        <v>11</v>
      </c>
      <c r="G17" s="2">
        <v>5.5</v>
      </c>
      <c r="H17" s="19">
        <v>28</v>
      </c>
      <c r="I17" s="19">
        <v>22</v>
      </c>
      <c r="J17" s="21">
        <v>0.61099999999999999</v>
      </c>
    </row>
    <row r="18" spans="2:10" ht="15" customHeight="1">
      <c r="B18" s="67">
        <v>200</v>
      </c>
      <c r="C18" s="2">
        <v>200</v>
      </c>
      <c r="D18" s="2">
        <v>75</v>
      </c>
      <c r="E18" s="2">
        <v>8.5</v>
      </c>
      <c r="F18" s="2">
        <v>11.5</v>
      </c>
      <c r="G18" s="2">
        <v>6</v>
      </c>
      <c r="H18" s="19">
        <v>32.200000000000003</v>
      </c>
      <c r="I18" s="19">
        <v>25.3</v>
      </c>
      <c r="J18" s="21">
        <v>0.66100000000000003</v>
      </c>
    </row>
    <row r="19" spans="2:10" ht="15" customHeight="1">
      <c r="B19" s="67">
        <v>220</v>
      </c>
      <c r="C19" s="2">
        <v>220</v>
      </c>
      <c r="D19" s="2">
        <v>80</v>
      </c>
      <c r="E19" s="2">
        <v>9</v>
      </c>
      <c r="F19" s="2">
        <v>12.5</v>
      </c>
      <c r="G19" s="2">
        <v>6.5</v>
      </c>
      <c r="H19" s="19">
        <v>37.4</v>
      </c>
      <c r="I19" s="19">
        <v>29.4</v>
      </c>
      <c r="J19" s="21">
        <v>0.71799999999999997</v>
      </c>
    </row>
    <row r="20" spans="2:10" ht="15" customHeight="1">
      <c r="B20" s="67">
        <v>240</v>
      </c>
      <c r="C20" s="2">
        <v>240</v>
      </c>
      <c r="D20" s="2">
        <v>85</v>
      </c>
      <c r="E20" s="2">
        <v>9.5</v>
      </c>
      <c r="F20" s="2">
        <v>13</v>
      </c>
      <c r="G20" s="2">
        <v>6.5</v>
      </c>
      <c r="H20" s="19">
        <v>42.3</v>
      </c>
      <c r="I20" s="19">
        <v>33.200000000000003</v>
      </c>
      <c r="J20" s="21">
        <v>0.77500000000000002</v>
      </c>
    </row>
    <row r="21" spans="2:10" ht="15" customHeight="1">
      <c r="B21" s="67">
        <v>260</v>
      </c>
      <c r="C21" s="2">
        <v>260</v>
      </c>
      <c r="D21" s="2">
        <v>90</v>
      </c>
      <c r="E21" s="2">
        <v>10</v>
      </c>
      <c r="F21" s="2">
        <v>14</v>
      </c>
      <c r="G21" s="2">
        <v>7</v>
      </c>
      <c r="H21" s="19">
        <v>48.3</v>
      </c>
      <c r="I21" s="19">
        <v>37.9</v>
      </c>
      <c r="J21" s="21">
        <v>0.83399999999999996</v>
      </c>
    </row>
    <row r="22" spans="2:10" ht="15" customHeight="1">
      <c r="B22" s="68">
        <v>280</v>
      </c>
      <c r="C22" s="23">
        <v>280</v>
      </c>
      <c r="D22" s="2">
        <v>95</v>
      </c>
      <c r="E22" s="23">
        <v>10</v>
      </c>
      <c r="F22" s="23">
        <v>15</v>
      </c>
      <c r="G22" s="23">
        <v>7.5</v>
      </c>
      <c r="H22" s="24">
        <v>53.3</v>
      </c>
      <c r="I22" s="24">
        <v>41.8</v>
      </c>
      <c r="J22" s="25">
        <v>0.89</v>
      </c>
    </row>
    <row r="23" spans="2:10" ht="15" customHeight="1">
      <c r="B23" s="68">
        <v>300</v>
      </c>
      <c r="C23" s="23">
        <v>300</v>
      </c>
      <c r="D23" s="2">
        <v>100</v>
      </c>
      <c r="E23" s="23">
        <v>10</v>
      </c>
      <c r="F23" s="23">
        <v>16</v>
      </c>
      <c r="G23" s="23">
        <v>8</v>
      </c>
      <c r="H23" s="24">
        <v>58.8</v>
      </c>
      <c r="I23" s="24">
        <v>46.2</v>
      </c>
      <c r="J23" s="25">
        <v>0.95</v>
      </c>
    </row>
    <row r="24" spans="2:10" ht="15" customHeight="1">
      <c r="B24" s="68">
        <v>320</v>
      </c>
      <c r="C24" s="23">
        <v>320</v>
      </c>
      <c r="D24" s="2">
        <v>100</v>
      </c>
      <c r="E24" s="23">
        <v>14</v>
      </c>
      <c r="F24" s="23">
        <v>17.5</v>
      </c>
      <c r="G24" s="23">
        <v>8.75</v>
      </c>
      <c r="H24" s="24">
        <v>75.8</v>
      </c>
      <c r="I24" s="24">
        <v>59.5</v>
      </c>
      <c r="J24" s="25">
        <v>0.98199999999999998</v>
      </c>
    </row>
    <row r="25" spans="2:10" ht="15" customHeight="1">
      <c r="B25" s="68">
        <v>350</v>
      </c>
      <c r="C25" s="23">
        <v>350</v>
      </c>
      <c r="D25" s="2">
        <v>100</v>
      </c>
      <c r="E25" s="23">
        <v>14</v>
      </c>
      <c r="F25" s="23">
        <v>16</v>
      </c>
      <c r="G25" s="23">
        <v>8</v>
      </c>
      <c r="H25" s="24">
        <v>77.3</v>
      </c>
      <c r="I25" s="24">
        <v>60</v>
      </c>
      <c r="J25" s="25">
        <v>1.0469999999999999</v>
      </c>
    </row>
    <row r="26" spans="2:10" ht="15" customHeight="1">
      <c r="B26" s="68">
        <v>380</v>
      </c>
      <c r="C26" s="23">
        <v>380</v>
      </c>
      <c r="D26" s="2">
        <v>102</v>
      </c>
      <c r="E26" s="23">
        <v>13.5</v>
      </c>
      <c r="F26" s="23">
        <v>16</v>
      </c>
      <c r="G26" s="23">
        <v>8</v>
      </c>
      <c r="H26" s="24">
        <v>80.400000000000006</v>
      </c>
      <c r="I26" s="24">
        <v>63.1</v>
      </c>
      <c r="J26" s="25">
        <v>1.1100000000000001</v>
      </c>
    </row>
    <row r="27" spans="2:10" ht="15" customHeight="1" thickBot="1">
      <c r="B27" s="69">
        <v>400</v>
      </c>
      <c r="C27" s="12">
        <v>400</v>
      </c>
      <c r="D27" s="12">
        <v>110</v>
      </c>
      <c r="E27" s="12">
        <v>14</v>
      </c>
      <c r="F27" s="12">
        <v>18</v>
      </c>
      <c r="G27" s="12">
        <v>9</v>
      </c>
      <c r="H27" s="20">
        <v>91.5</v>
      </c>
      <c r="I27" s="20">
        <v>71.8</v>
      </c>
      <c r="J27" s="22">
        <v>1.1819999999999999</v>
      </c>
    </row>
    <row r="28" spans="2:10" ht="15" customHeight="1" thickTop="1">
      <c r="B28" s="1"/>
      <c r="C28" s="1"/>
      <c r="D28" s="1"/>
      <c r="E28" s="1"/>
      <c r="F28" s="1"/>
      <c r="G28" s="1"/>
      <c r="H28" s="1"/>
      <c r="I28" s="1"/>
      <c r="J28" s="1"/>
    </row>
    <row r="29" spans="2:10" ht="15" customHeight="1">
      <c r="B29" s="1"/>
      <c r="C29" s="1"/>
      <c r="D29" s="1"/>
      <c r="E29" s="1"/>
      <c r="F29" s="1"/>
      <c r="G29" s="1"/>
      <c r="H29" s="1"/>
      <c r="I29" s="1"/>
      <c r="J29" s="1"/>
    </row>
    <row r="30" spans="2:10" ht="15" customHeight="1">
      <c r="B30" s="1"/>
      <c r="C30" s="1"/>
      <c r="D30" s="1"/>
      <c r="E30" s="1"/>
      <c r="F30" s="1"/>
      <c r="G30" s="1"/>
      <c r="H30" s="1"/>
      <c r="I30" s="1"/>
      <c r="J30" s="1"/>
    </row>
    <row r="31" spans="2:10" ht="15" customHeight="1">
      <c r="B31" s="1"/>
      <c r="C31" s="1"/>
      <c r="D31" s="1"/>
      <c r="E31" s="1"/>
      <c r="F31" s="1"/>
      <c r="G31" s="1"/>
      <c r="H31" s="1"/>
      <c r="I31" s="1"/>
      <c r="J31" s="1"/>
    </row>
    <row r="32" spans="2:10" ht="15" customHeight="1">
      <c r="B32" s="1"/>
      <c r="C32" s="1"/>
      <c r="D32" s="1"/>
      <c r="E32" s="1"/>
      <c r="F32" s="1"/>
      <c r="G32" s="1"/>
      <c r="H32" s="1"/>
      <c r="I32" s="1"/>
      <c r="J32" s="1"/>
    </row>
    <row r="33" spans="2:10" ht="15" customHeight="1">
      <c r="B33" s="1"/>
      <c r="C33" s="1"/>
      <c r="D33" s="1"/>
      <c r="E33" s="1"/>
      <c r="F33" s="1"/>
      <c r="G33" s="1"/>
      <c r="H33" s="1"/>
      <c r="I33" s="1"/>
      <c r="J33" s="1"/>
    </row>
    <row r="34" spans="2:10" ht="15" customHeight="1">
      <c r="B34" s="1"/>
      <c r="C34" s="1"/>
      <c r="D34" s="1"/>
      <c r="E34" s="1"/>
      <c r="F34" s="1"/>
      <c r="G34" s="1"/>
      <c r="H34" s="1"/>
      <c r="I34" s="1"/>
      <c r="J34" s="1"/>
    </row>
    <row r="35" spans="2:10" ht="15" customHeight="1">
      <c r="B35" s="1"/>
      <c r="C35" s="1"/>
      <c r="D35" s="1"/>
      <c r="E35" s="1"/>
      <c r="F35" s="1"/>
      <c r="G35" s="1"/>
      <c r="H35" s="1"/>
      <c r="I35" s="1"/>
      <c r="J35" s="1"/>
    </row>
    <row r="36" spans="2:10" ht="15" customHeight="1"/>
    <row r="37" spans="2:10" ht="15" customHeight="1"/>
    <row r="38" spans="2:10" ht="15" customHeight="1"/>
    <row r="39" spans="2:10" ht="15" customHeight="1"/>
    <row r="40" spans="2:10" ht="15" customHeight="1"/>
    <row r="41" spans="2:10" ht="15" customHeight="1"/>
    <row r="42" spans="2:10" ht="15" customHeight="1"/>
  </sheetData>
  <customSheetViews>
    <customSheetView guid="{C0BE45DA-73C0-4B1E-ABFB-A0FAB57D4E46}" showGridLines="0" showRuler="0">
      <selection activeCell="B3" sqref="B3:B4"/>
      <pageMargins left="0.75" right="0.75" top="1" bottom="1" header="0.5" footer="0.5"/>
      <headerFooter alignWithMargins="0"/>
    </customSheetView>
  </customSheetViews>
  <mergeCells count="2">
    <mergeCell ref="B1:J1"/>
    <mergeCell ref="B2:B3"/>
  </mergeCells>
  <phoneticPr fontId="2" type="noConversion"/>
  <pageMargins left="0.94488188976377963" right="0.35433070866141736" top="0.98425196850393704" bottom="0.39370078740157483" header="0.51181102362204722" footer="0.51181102362204722"/>
  <pageSetup paperSize="9" orientation="portrait" horizontalDpi="4294967293"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7"/>
  </sheetPr>
  <dimension ref="B1:O126"/>
  <sheetViews>
    <sheetView showGridLines="0" zoomScale="82" zoomScaleNormal="82" workbookViewId="0">
      <pane xSplit="1" ySplit="3" topLeftCell="B4" activePane="bottomRight" state="frozen"/>
      <selection pane="topRight" activeCell="B1" sqref="B1"/>
      <selection pane="bottomLeft" activeCell="A5" sqref="A5"/>
      <selection pane="bottomRight" activeCell="M25" sqref="M25"/>
    </sheetView>
  </sheetViews>
  <sheetFormatPr defaultRowHeight="13.2"/>
  <cols>
    <col min="1" max="1" width="2.6640625" customWidth="1"/>
    <col min="2" max="11" width="8.6640625" customWidth="1"/>
  </cols>
  <sheetData>
    <row r="1" spans="2:15" ht="20.100000000000001" customHeight="1" thickTop="1">
      <c r="B1" s="455" t="s">
        <v>31</v>
      </c>
      <c r="C1" s="479"/>
      <c r="D1" s="456"/>
      <c r="E1" s="456"/>
      <c r="F1" s="456"/>
      <c r="G1" s="456"/>
      <c r="H1" s="456"/>
      <c r="I1" s="456"/>
      <c r="J1" s="456"/>
      <c r="K1" s="457"/>
    </row>
    <row r="2" spans="2:15" ht="15" customHeight="1">
      <c r="B2" s="480" t="s">
        <v>29</v>
      </c>
      <c r="C2" s="481"/>
      <c r="D2" s="15" t="s">
        <v>42</v>
      </c>
      <c r="E2" s="15" t="s">
        <v>17</v>
      </c>
      <c r="F2" s="15" t="s">
        <v>35</v>
      </c>
      <c r="G2" s="15" t="s">
        <v>41</v>
      </c>
      <c r="H2" s="15" t="s">
        <v>21</v>
      </c>
      <c r="I2" s="15" t="s">
        <v>2</v>
      </c>
      <c r="J2" s="15" t="s">
        <v>0</v>
      </c>
      <c r="K2" s="16" t="s">
        <v>7</v>
      </c>
    </row>
    <row r="3" spans="2:15" ht="15" customHeight="1">
      <c r="B3" s="482"/>
      <c r="C3" s="483"/>
      <c r="D3" s="15" t="s">
        <v>22</v>
      </c>
      <c r="E3" s="15" t="s">
        <v>22</v>
      </c>
      <c r="F3" s="15" t="s">
        <v>22</v>
      </c>
      <c r="G3" s="15" t="s">
        <v>22</v>
      </c>
      <c r="H3" s="15" t="s">
        <v>22</v>
      </c>
      <c r="I3" s="15" t="s">
        <v>3</v>
      </c>
      <c r="J3" s="15" t="s">
        <v>23</v>
      </c>
      <c r="K3" s="16" t="s">
        <v>24</v>
      </c>
    </row>
    <row r="4" spans="2:15" ht="15" customHeight="1" thickBot="1">
      <c r="B4" s="484">
        <v>20</v>
      </c>
      <c r="C4" s="65">
        <v>3</v>
      </c>
      <c r="D4" s="470">
        <v>20</v>
      </c>
      <c r="E4" s="470">
        <v>20</v>
      </c>
      <c r="F4" s="36">
        <v>3</v>
      </c>
      <c r="G4" s="470">
        <v>3.5</v>
      </c>
      <c r="H4" s="470">
        <v>2</v>
      </c>
      <c r="I4" s="40">
        <v>1.1200000000000001</v>
      </c>
      <c r="J4" s="40">
        <v>0.88</v>
      </c>
      <c r="K4" s="467">
        <v>7.6999999999999999E-2</v>
      </c>
    </row>
    <row r="5" spans="2:15" ht="15" customHeight="1">
      <c r="B5" s="485"/>
      <c r="C5" s="65">
        <v>4</v>
      </c>
      <c r="D5" s="472"/>
      <c r="E5" s="472"/>
      <c r="F5" s="36">
        <v>4</v>
      </c>
      <c r="G5" s="472"/>
      <c r="H5" s="472"/>
      <c r="I5" s="40">
        <v>1.45</v>
      </c>
      <c r="J5" s="40">
        <v>1.1399999999999999</v>
      </c>
      <c r="K5" s="468"/>
      <c r="M5" s="291" t="s">
        <v>801</v>
      </c>
      <c r="N5" s="292"/>
      <c r="O5" s="293"/>
    </row>
    <row r="6" spans="2:15" ht="15" customHeight="1">
      <c r="B6" s="475">
        <v>25</v>
      </c>
      <c r="C6" s="31">
        <v>3</v>
      </c>
      <c r="D6" s="470">
        <v>25</v>
      </c>
      <c r="E6" s="470">
        <v>25</v>
      </c>
      <c r="F6" s="35">
        <v>3</v>
      </c>
      <c r="G6" s="470">
        <v>3.5</v>
      </c>
      <c r="H6" s="470">
        <v>2</v>
      </c>
      <c r="I6" s="40">
        <v>1.42</v>
      </c>
      <c r="J6" s="40">
        <v>1.1200000000000001</v>
      </c>
      <c r="K6" s="467">
        <v>9.7000000000000003E-2</v>
      </c>
      <c r="M6" s="294" t="s">
        <v>802</v>
      </c>
      <c r="N6" s="295"/>
      <c r="O6" s="296"/>
    </row>
    <row r="7" spans="2:15" ht="15" customHeight="1" thickBot="1">
      <c r="B7" s="476"/>
      <c r="C7" s="31">
        <v>4</v>
      </c>
      <c r="D7" s="471"/>
      <c r="E7" s="471"/>
      <c r="F7" s="35">
        <v>4</v>
      </c>
      <c r="G7" s="471"/>
      <c r="H7" s="471"/>
      <c r="I7" s="40">
        <v>1.85</v>
      </c>
      <c r="J7" s="40">
        <v>1.45</v>
      </c>
      <c r="K7" s="469"/>
      <c r="M7" s="297" t="s">
        <v>803</v>
      </c>
      <c r="N7" s="298"/>
      <c r="O7" s="299"/>
    </row>
    <row r="8" spans="2:15" ht="15" customHeight="1">
      <c r="B8" s="477"/>
      <c r="C8" s="31">
        <v>5</v>
      </c>
      <c r="D8" s="472"/>
      <c r="E8" s="472"/>
      <c r="F8" s="35">
        <v>5</v>
      </c>
      <c r="G8" s="472"/>
      <c r="H8" s="472"/>
      <c r="I8" s="40">
        <v>2.2599999999999998</v>
      </c>
      <c r="J8" s="40">
        <v>1.77</v>
      </c>
      <c r="K8" s="468"/>
    </row>
    <row r="9" spans="2:15" ht="15" customHeight="1">
      <c r="B9" s="475">
        <v>30</v>
      </c>
      <c r="C9" s="31">
        <v>3</v>
      </c>
      <c r="D9" s="470">
        <v>30</v>
      </c>
      <c r="E9" s="470">
        <v>30</v>
      </c>
      <c r="F9" s="35">
        <v>3</v>
      </c>
      <c r="G9" s="470">
        <v>5</v>
      </c>
      <c r="H9" s="470">
        <v>2.5</v>
      </c>
      <c r="I9" s="40">
        <v>1.74</v>
      </c>
      <c r="J9" s="40">
        <v>1.36</v>
      </c>
      <c r="K9" s="467">
        <v>0.11600000000000001</v>
      </c>
    </row>
    <row r="10" spans="2:15" ht="15" customHeight="1">
      <c r="B10" s="476"/>
      <c r="C10" s="31">
        <v>4</v>
      </c>
      <c r="D10" s="471"/>
      <c r="E10" s="471"/>
      <c r="F10" s="35">
        <v>4</v>
      </c>
      <c r="G10" s="471"/>
      <c r="H10" s="471"/>
      <c r="I10" s="40">
        <v>2.27</v>
      </c>
      <c r="J10" s="40">
        <v>1.78</v>
      </c>
      <c r="K10" s="469"/>
    </row>
    <row r="11" spans="2:15" ht="15" customHeight="1">
      <c r="B11" s="477"/>
      <c r="C11" s="31">
        <v>5</v>
      </c>
      <c r="D11" s="472"/>
      <c r="E11" s="472"/>
      <c r="F11" s="35">
        <v>5</v>
      </c>
      <c r="G11" s="472"/>
      <c r="H11" s="472"/>
      <c r="I11" s="40">
        <v>2.78</v>
      </c>
      <c r="J11" s="40">
        <v>2.1800000000000002</v>
      </c>
      <c r="K11" s="468"/>
    </row>
    <row r="12" spans="2:15" ht="15" customHeight="1">
      <c r="B12" s="475">
        <v>35</v>
      </c>
      <c r="C12" s="31">
        <v>3</v>
      </c>
      <c r="D12" s="470">
        <v>35</v>
      </c>
      <c r="E12" s="470">
        <v>35</v>
      </c>
      <c r="F12" s="35">
        <v>3</v>
      </c>
      <c r="G12" s="470">
        <v>5</v>
      </c>
      <c r="H12" s="470">
        <v>2.5</v>
      </c>
      <c r="I12" s="40">
        <v>2.04</v>
      </c>
      <c r="J12" s="40">
        <v>1.6</v>
      </c>
      <c r="K12" s="467">
        <v>0.13600000000000001</v>
      </c>
    </row>
    <row r="13" spans="2:15" ht="15" customHeight="1">
      <c r="B13" s="476"/>
      <c r="C13" s="31">
        <v>4</v>
      </c>
      <c r="D13" s="471"/>
      <c r="E13" s="471"/>
      <c r="F13" s="35">
        <v>4</v>
      </c>
      <c r="G13" s="471"/>
      <c r="H13" s="471"/>
      <c r="I13" s="40">
        <v>2.67</v>
      </c>
      <c r="J13" s="40">
        <v>2.1</v>
      </c>
      <c r="K13" s="469"/>
    </row>
    <row r="14" spans="2:15" ht="15" customHeight="1">
      <c r="B14" s="476"/>
      <c r="C14" s="31">
        <v>5</v>
      </c>
      <c r="D14" s="471"/>
      <c r="E14" s="471"/>
      <c r="F14" s="35">
        <v>5</v>
      </c>
      <c r="G14" s="471"/>
      <c r="H14" s="471"/>
      <c r="I14" s="40">
        <v>3.28</v>
      </c>
      <c r="J14" s="40">
        <v>2.57</v>
      </c>
      <c r="K14" s="469"/>
    </row>
    <row r="15" spans="2:15" ht="15" customHeight="1">
      <c r="B15" s="477"/>
      <c r="C15" s="31">
        <v>6</v>
      </c>
      <c r="D15" s="472"/>
      <c r="E15" s="472"/>
      <c r="F15" s="35">
        <v>6</v>
      </c>
      <c r="G15" s="472"/>
      <c r="H15" s="472"/>
      <c r="I15" s="40">
        <v>3.87</v>
      </c>
      <c r="J15" s="40">
        <v>3.04</v>
      </c>
      <c r="K15" s="468"/>
    </row>
    <row r="16" spans="2:15" ht="15" customHeight="1">
      <c r="B16" s="475">
        <v>40</v>
      </c>
      <c r="C16" s="31">
        <v>3</v>
      </c>
      <c r="D16" s="470">
        <v>40</v>
      </c>
      <c r="E16" s="470">
        <v>40</v>
      </c>
      <c r="F16" s="35">
        <v>3</v>
      </c>
      <c r="G16" s="470">
        <v>6</v>
      </c>
      <c r="H16" s="470">
        <v>3</v>
      </c>
      <c r="I16" s="40">
        <v>2.35</v>
      </c>
      <c r="J16" s="40">
        <v>1.84</v>
      </c>
      <c r="K16" s="467">
        <v>0.155</v>
      </c>
    </row>
    <row r="17" spans="2:13" ht="15" customHeight="1">
      <c r="B17" s="476"/>
      <c r="C17" s="31">
        <v>4</v>
      </c>
      <c r="D17" s="471"/>
      <c r="E17" s="471"/>
      <c r="F17" s="35">
        <v>4</v>
      </c>
      <c r="G17" s="471"/>
      <c r="H17" s="471"/>
      <c r="I17" s="40">
        <v>3.08</v>
      </c>
      <c r="J17" s="40">
        <v>2.42</v>
      </c>
      <c r="K17" s="469"/>
      <c r="M17" s="100"/>
    </row>
    <row r="18" spans="2:13" ht="15" customHeight="1">
      <c r="B18" s="476"/>
      <c r="C18" s="31">
        <v>5</v>
      </c>
      <c r="D18" s="471"/>
      <c r="E18" s="471"/>
      <c r="F18" s="35">
        <v>5</v>
      </c>
      <c r="G18" s="471"/>
      <c r="H18" s="471"/>
      <c r="I18" s="40">
        <v>3.79</v>
      </c>
      <c r="J18" s="40">
        <v>2.97</v>
      </c>
      <c r="K18" s="469"/>
    </row>
    <row r="19" spans="2:13" ht="15" customHeight="1">
      <c r="B19" s="477"/>
      <c r="C19" s="31">
        <v>6</v>
      </c>
      <c r="D19" s="472"/>
      <c r="E19" s="472"/>
      <c r="F19" s="35">
        <v>6</v>
      </c>
      <c r="G19" s="472"/>
      <c r="H19" s="472"/>
      <c r="I19" s="40">
        <v>4.4800000000000004</v>
      </c>
      <c r="J19" s="40">
        <v>3.52</v>
      </c>
      <c r="K19" s="468"/>
    </row>
    <row r="20" spans="2:13" ht="15" customHeight="1">
      <c r="B20" s="475">
        <v>45</v>
      </c>
      <c r="C20" s="31">
        <v>4</v>
      </c>
      <c r="D20" s="470">
        <v>45</v>
      </c>
      <c r="E20" s="470">
        <v>45</v>
      </c>
      <c r="F20" s="35">
        <v>4</v>
      </c>
      <c r="G20" s="470">
        <v>7</v>
      </c>
      <c r="H20" s="470">
        <v>3.5</v>
      </c>
      <c r="I20" s="40">
        <v>3.49</v>
      </c>
      <c r="J20" s="40">
        <v>2.74</v>
      </c>
      <c r="K20" s="467">
        <v>0.17399999999999999</v>
      </c>
    </row>
    <row r="21" spans="2:13" ht="15" customHeight="1">
      <c r="B21" s="476"/>
      <c r="C21" s="31">
        <v>5</v>
      </c>
      <c r="D21" s="471"/>
      <c r="E21" s="471"/>
      <c r="F21" s="35">
        <v>5</v>
      </c>
      <c r="G21" s="471"/>
      <c r="H21" s="471"/>
      <c r="I21" s="40">
        <v>4.3</v>
      </c>
      <c r="J21" s="40">
        <v>3.38</v>
      </c>
      <c r="K21" s="469"/>
    </row>
    <row r="22" spans="2:13" ht="15" customHeight="1">
      <c r="B22" s="476"/>
      <c r="C22" s="31">
        <v>6</v>
      </c>
      <c r="D22" s="471"/>
      <c r="E22" s="471"/>
      <c r="F22" s="35">
        <v>6</v>
      </c>
      <c r="G22" s="471"/>
      <c r="H22" s="471"/>
      <c r="I22" s="40">
        <v>5.09</v>
      </c>
      <c r="J22" s="40">
        <v>4</v>
      </c>
      <c r="K22" s="469"/>
    </row>
    <row r="23" spans="2:13" ht="15" customHeight="1">
      <c r="B23" s="477"/>
      <c r="C23" s="31">
        <v>7</v>
      </c>
      <c r="D23" s="472"/>
      <c r="E23" s="472"/>
      <c r="F23" s="35">
        <v>7</v>
      </c>
      <c r="G23" s="472"/>
      <c r="H23" s="472"/>
      <c r="I23" s="40">
        <v>5.86</v>
      </c>
      <c r="J23" s="40">
        <v>4.5999999999999996</v>
      </c>
      <c r="K23" s="468"/>
    </row>
    <row r="24" spans="2:13" ht="15" customHeight="1">
      <c r="B24" s="475">
        <v>50</v>
      </c>
      <c r="C24" s="31">
        <v>4</v>
      </c>
      <c r="D24" s="470">
        <v>50</v>
      </c>
      <c r="E24" s="470">
        <v>50</v>
      </c>
      <c r="F24" s="35">
        <v>4</v>
      </c>
      <c r="G24" s="470">
        <v>7</v>
      </c>
      <c r="H24" s="470">
        <v>3.5</v>
      </c>
      <c r="I24" s="40">
        <v>3.89</v>
      </c>
      <c r="J24" s="40">
        <v>3.06</v>
      </c>
      <c r="K24" s="467">
        <v>0.19400000000000001</v>
      </c>
    </row>
    <row r="25" spans="2:13" ht="15" customHeight="1">
      <c r="B25" s="476"/>
      <c r="C25" s="31">
        <v>5</v>
      </c>
      <c r="D25" s="471"/>
      <c r="E25" s="471"/>
      <c r="F25" s="35">
        <v>5</v>
      </c>
      <c r="G25" s="471"/>
      <c r="H25" s="471"/>
      <c r="I25" s="40">
        <v>4.8</v>
      </c>
      <c r="J25" s="40">
        <v>3.77</v>
      </c>
      <c r="K25" s="469"/>
    </row>
    <row r="26" spans="2:13" ht="15" customHeight="1">
      <c r="B26" s="476"/>
      <c r="C26" s="31">
        <v>6</v>
      </c>
      <c r="D26" s="471"/>
      <c r="E26" s="471"/>
      <c r="F26" s="35">
        <v>6</v>
      </c>
      <c r="G26" s="471"/>
      <c r="H26" s="471"/>
      <c r="I26" s="40">
        <v>5.69</v>
      </c>
      <c r="J26" s="40">
        <v>4.47</v>
      </c>
      <c r="K26" s="469"/>
    </row>
    <row r="27" spans="2:13" ht="15" customHeight="1">
      <c r="B27" s="476"/>
      <c r="C27" s="31">
        <v>7</v>
      </c>
      <c r="D27" s="471"/>
      <c r="E27" s="471"/>
      <c r="F27" s="35">
        <v>7</v>
      </c>
      <c r="G27" s="471"/>
      <c r="H27" s="471"/>
      <c r="I27" s="40">
        <v>6.56</v>
      </c>
      <c r="J27" s="40">
        <v>5.15</v>
      </c>
      <c r="K27" s="469"/>
    </row>
    <row r="28" spans="2:13" ht="15" customHeight="1">
      <c r="B28" s="476"/>
      <c r="C28" s="31">
        <v>8</v>
      </c>
      <c r="D28" s="471"/>
      <c r="E28" s="471"/>
      <c r="F28" s="35">
        <v>8</v>
      </c>
      <c r="G28" s="471"/>
      <c r="H28" s="471"/>
      <c r="I28" s="40">
        <v>7.41</v>
      </c>
      <c r="J28" s="40">
        <v>5.82</v>
      </c>
      <c r="K28" s="469"/>
    </row>
    <row r="29" spans="2:13" ht="15" customHeight="1">
      <c r="B29" s="476"/>
      <c r="C29" s="31">
        <v>9</v>
      </c>
      <c r="D29" s="472"/>
      <c r="E29" s="472"/>
      <c r="F29" s="35">
        <v>9</v>
      </c>
      <c r="G29" s="472"/>
      <c r="H29" s="472"/>
      <c r="I29" s="40">
        <v>8.24</v>
      </c>
      <c r="J29" s="40">
        <v>6.47</v>
      </c>
      <c r="K29" s="468"/>
    </row>
    <row r="30" spans="2:13" ht="15" customHeight="1">
      <c r="B30" s="475">
        <v>55</v>
      </c>
      <c r="C30" s="31">
        <v>5</v>
      </c>
      <c r="D30" s="470">
        <v>55</v>
      </c>
      <c r="E30" s="470">
        <v>55</v>
      </c>
      <c r="F30" s="35">
        <v>5</v>
      </c>
      <c r="G30" s="470">
        <v>8</v>
      </c>
      <c r="H30" s="470">
        <v>4</v>
      </c>
      <c r="I30" s="40">
        <v>5.32</v>
      </c>
      <c r="J30" s="40">
        <v>4.18</v>
      </c>
      <c r="K30" s="467">
        <v>0.21299999999999999</v>
      </c>
    </row>
    <row r="31" spans="2:13" ht="15" customHeight="1">
      <c r="B31" s="476"/>
      <c r="C31" s="31">
        <v>6</v>
      </c>
      <c r="D31" s="471"/>
      <c r="E31" s="471"/>
      <c r="F31" s="35">
        <v>6</v>
      </c>
      <c r="G31" s="471"/>
      <c r="H31" s="471"/>
      <c r="I31" s="40">
        <v>6.31</v>
      </c>
      <c r="J31" s="40">
        <v>4.95</v>
      </c>
      <c r="K31" s="469"/>
    </row>
    <row r="32" spans="2:13" ht="15" customHeight="1">
      <c r="B32" s="476"/>
      <c r="C32" s="31">
        <v>8</v>
      </c>
      <c r="D32" s="471"/>
      <c r="E32" s="471"/>
      <c r="F32" s="35">
        <v>8</v>
      </c>
      <c r="G32" s="471"/>
      <c r="H32" s="471"/>
      <c r="I32" s="40">
        <v>8.23</v>
      </c>
      <c r="J32" s="40">
        <v>6.46</v>
      </c>
      <c r="K32" s="469"/>
    </row>
    <row r="33" spans="2:11" ht="15" customHeight="1">
      <c r="B33" s="477"/>
      <c r="C33" s="31">
        <v>10</v>
      </c>
      <c r="D33" s="472"/>
      <c r="E33" s="472"/>
      <c r="F33" s="35">
        <v>10</v>
      </c>
      <c r="G33" s="472"/>
      <c r="H33" s="472"/>
      <c r="I33" s="40">
        <v>10.1</v>
      </c>
      <c r="J33" s="40">
        <v>7.9</v>
      </c>
      <c r="K33" s="468"/>
    </row>
    <row r="34" spans="2:11" ht="15" customHeight="1">
      <c r="B34" s="475">
        <v>60</v>
      </c>
      <c r="C34" s="31">
        <v>5</v>
      </c>
      <c r="D34" s="470">
        <v>60</v>
      </c>
      <c r="E34" s="470">
        <v>60</v>
      </c>
      <c r="F34" s="35">
        <v>5</v>
      </c>
      <c r="G34" s="470">
        <v>8</v>
      </c>
      <c r="H34" s="470">
        <v>4</v>
      </c>
      <c r="I34" s="40">
        <v>5.82</v>
      </c>
      <c r="J34" s="40">
        <v>4.67</v>
      </c>
      <c r="K34" s="467">
        <v>0.223</v>
      </c>
    </row>
    <row r="35" spans="2:11" ht="15" customHeight="1">
      <c r="B35" s="476"/>
      <c r="C35" s="31">
        <v>6</v>
      </c>
      <c r="D35" s="471"/>
      <c r="E35" s="471"/>
      <c r="F35" s="35">
        <v>6</v>
      </c>
      <c r="G35" s="471"/>
      <c r="H35" s="471"/>
      <c r="I35" s="40">
        <v>6.91</v>
      </c>
      <c r="J35" s="40">
        <v>5.42</v>
      </c>
      <c r="K35" s="469"/>
    </row>
    <row r="36" spans="2:11" ht="15" customHeight="1">
      <c r="B36" s="476"/>
      <c r="C36" s="31">
        <v>8</v>
      </c>
      <c r="D36" s="471"/>
      <c r="E36" s="471"/>
      <c r="F36" s="35">
        <v>8</v>
      </c>
      <c r="G36" s="471"/>
      <c r="H36" s="471"/>
      <c r="I36" s="40">
        <v>9.0299999999999994</v>
      </c>
      <c r="J36" s="40">
        <v>7.09</v>
      </c>
      <c r="K36" s="469"/>
    </row>
    <row r="37" spans="2:11" ht="15" customHeight="1">
      <c r="B37" s="477"/>
      <c r="C37" s="31">
        <v>10</v>
      </c>
      <c r="D37" s="472"/>
      <c r="E37" s="472"/>
      <c r="F37" s="35">
        <v>10</v>
      </c>
      <c r="G37" s="472"/>
      <c r="H37" s="472"/>
      <c r="I37" s="40">
        <v>11.1</v>
      </c>
      <c r="J37" s="40">
        <v>8.69</v>
      </c>
      <c r="K37" s="468"/>
    </row>
    <row r="38" spans="2:11" ht="15" customHeight="1">
      <c r="B38" s="475">
        <v>65</v>
      </c>
      <c r="C38" s="31">
        <v>6</v>
      </c>
      <c r="D38" s="470">
        <v>65</v>
      </c>
      <c r="E38" s="470">
        <v>65</v>
      </c>
      <c r="F38" s="35">
        <v>6</v>
      </c>
      <c r="G38" s="470">
        <v>9</v>
      </c>
      <c r="H38" s="470">
        <v>4.5</v>
      </c>
      <c r="I38" s="40">
        <v>7.53</v>
      </c>
      <c r="J38" s="40">
        <v>5.91</v>
      </c>
      <c r="K38" s="467">
        <v>0.252</v>
      </c>
    </row>
    <row r="39" spans="2:11" ht="15" customHeight="1">
      <c r="B39" s="476"/>
      <c r="C39" s="31">
        <v>7</v>
      </c>
      <c r="D39" s="471"/>
      <c r="E39" s="471"/>
      <c r="F39" s="35">
        <v>7</v>
      </c>
      <c r="G39" s="471"/>
      <c r="H39" s="471"/>
      <c r="I39" s="40">
        <v>8.6999999999999993</v>
      </c>
      <c r="J39" s="40">
        <v>6.83</v>
      </c>
      <c r="K39" s="469"/>
    </row>
    <row r="40" spans="2:11" ht="15" customHeight="1">
      <c r="B40" s="476"/>
      <c r="C40" s="31">
        <v>8</v>
      </c>
      <c r="D40" s="471"/>
      <c r="E40" s="471"/>
      <c r="F40" s="35">
        <v>8</v>
      </c>
      <c r="G40" s="471"/>
      <c r="H40" s="471"/>
      <c r="I40" s="40">
        <v>9.85</v>
      </c>
      <c r="J40" s="40">
        <v>7.73</v>
      </c>
      <c r="K40" s="469"/>
    </row>
    <row r="41" spans="2:11" ht="15" customHeight="1">
      <c r="B41" s="476"/>
      <c r="C41" s="31">
        <v>9</v>
      </c>
      <c r="D41" s="471"/>
      <c r="E41" s="471"/>
      <c r="F41" s="35">
        <v>9</v>
      </c>
      <c r="G41" s="471"/>
      <c r="H41" s="471"/>
      <c r="I41" s="40">
        <v>11</v>
      </c>
      <c r="J41" s="40">
        <v>8.6199999999999992</v>
      </c>
      <c r="K41" s="469"/>
    </row>
    <row r="42" spans="2:11" ht="15" customHeight="1">
      <c r="B42" s="477"/>
      <c r="C42" s="31">
        <v>11</v>
      </c>
      <c r="D42" s="472"/>
      <c r="E42" s="472"/>
      <c r="F42" s="35">
        <v>11</v>
      </c>
      <c r="G42" s="472"/>
      <c r="H42" s="472"/>
      <c r="I42" s="40">
        <v>13.2</v>
      </c>
      <c r="J42" s="40">
        <v>10.3</v>
      </c>
      <c r="K42" s="468"/>
    </row>
    <row r="43" spans="2:11" ht="15" customHeight="1">
      <c r="B43" s="475">
        <v>70</v>
      </c>
      <c r="C43" s="31">
        <v>6</v>
      </c>
      <c r="D43" s="470">
        <v>70</v>
      </c>
      <c r="E43" s="470">
        <v>70</v>
      </c>
      <c r="F43" s="35">
        <v>6</v>
      </c>
      <c r="G43" s="470">
        <v>9</v>
      </c>
      <c r="H43" s="470">
        <v>4.5</v>
      </c>
      <c r="I43" s="40">
        <v>8.1300000000000008</v>
      </c>
      <c r="J43" s="40">
        <v>6.38</v>
      </c>
      <c r="K43" s="467">
        <v>0.27200000000000002</v>
      </c>
    </row>
    <row r="44" spans="2:11" ht="15" customHeight="1">
      <c r="B44" s="476"/>
      <c r="C44" s="31">
        <v>7</v>
      </c>
      <c r="D44" s="471"/>
      <c r="E44" s="471"/>
      <c r="F44" s="35">
        <v>7</v>
      </c>
      <c r="G44" s="471"/>
      <c r="H44" s="471"/>
      <c r="I44" s="40">
        <v>9.4</v>
      </c>
      <c r="J44" s="40">
        <v>7.38</v>
      </c>
      <c r="K44" s="469"/>
    </row>
    <row r="45" spans="2:11" ht="15" customHeight="1">
      <c r="B45" s="476"/>
      <c r="C45" s="31">
        <v>9</v>
      </c>
      <c r="D45" s="471"/>
      <c r="E45" s="471"/>
      <c r="F45" s="35">
        <v>9</v>
      </c>
      <c r="G45" s="471"/>
      <c r="H45" s="471"/>
      <c r="I45" s="40">
        <v>11.9</v>
      </c>
      <c r="J45" s="40">
        <v>9.34</v>
      </c>
      <c r="K45" s="469"/>
    </row>
    <row r="46" spans="2:11" ht="15" customHeight="1">
      <c r="B46" s="476"/>
      <c r="C46" s="31">
        <v>11</v>
      </c>
      <c r="D46" s="472"/>
      <c r="E46" s="472"/>
      <c r="F46" s="35">
        <v>11</v>
      </c>
      <c r="G46" s="472"/>
      <c r="H46" s="472"/>
      <c r="I46" s="40">
        <v>14.3</v>
      </c>
      <c r="J46" s="40">
        <v>11.2</v>
      </c>
      <c r="K46" s="468"/>
    </row>
    <row r="47" spans="2:11" ht="15" customHeight="1">
      <c r="B47" s="475">
        <v>75</v>
      </c>
      <c r="C47" s="31">
        <v>6</v>
      </c>
      <c r="D47" s="470">
        <v>75</v>
      </c>
      <c r="E47" s="470">
        <v>75</v>
      </c>
      <c r="F47" s="35">
        <v>6</v>
      </c>
      <c r="G47" s="470">
        <v>10</v>
      </c>
      <c r="H47" s="470">
        <v>5</v>
      </c>
      <c r="I47" s="40">
        <v>8.75</v>
      </c>
      <c r="J47" s="40">
        <v>6.87</v>
      </c>
      <c r="K47" s="467">
        <v>0.29099999999999998</v>
      </c>
    </row>
    <row r="48" spans="2:11" ht="15" customHeight="1">
      <c r="B48" s="476"/>
      <c r="C48" s="31">
        <v>7</v>
      </c>
      <c r="D48" s="471"/>
      <c r="E48" s="471"/>
      <c r="F48" s="35">
        <v>7</v>
      </c>
      <c r="G48" s="471"/>
      <c r="H48" s="471"/>
      <c r="I48" s="40">
        <v>10.1</v>
      </c>
      <c r="J48" s="40">
        <v>7.94</v>
      </c>
      <c r="K48" s="469"/>
    </row>
    <row r="49" spans="2:11" ht="15" customHeight="1">
      <c r="B49" s="476"/>
      <c r="C49" s="31">
        <v>8</v>
      </c>
      <c r="D49" s="471"/>
      <c r="E49" s="471"/>
      <c r="F49" s="35">
        <v>8</v>
      </c>
      <c r="G49" s="471"/>
      <c r="H49" s="471"/>
      <c r="I49" s="40">
        <v>11.4</v>
      </c>
      <c r="J49" s="40">
        <v>9.0299999999999994</v>
      </c>
      <c r="K49" s="469"/>
    </row>
    <row r="50" spans="2:11" ht="15" customHeight="1">
      <c r="B50" s="476"/>
      <c r="C50" s="31">
        <v>10</v>
      </c>
      <c r="D50" s="471"/>
      <c r="E50" s="471"/>
      <c r="F50" s="35">
        <v>10</v>
      </c>
      <c r="G50" s="471"/>
      <c r="H50" s="471"/>
      <c r="I50" s="40">
        <v>14.1</v>
      </c>
      <c r="J50" s="40">
        <v>11.1</v>
      </c>
      <c r="K50" s="469"/>
    </row>
    <row r="51" spans="2:11" ht="15" customHeight="1">
      <c r="B51" s="476"/>
      <c r="C51" s="31">
        <v>12</v>
      </c>
      <c r="D51" s="472"/>
      <c r="E51" s="472"/>
      <c r="F51" s="35">
        <v>12</v>
      </c>
      <c r="G51" s="472"/>
      <c r="H51" s="472"/>
      <c r="I51" s="40">
        <v>16.7</v>
      </c>
      <c r="J51" s="40">
        <v>13.1</v>
      </c>
      <c r="K51" s="468"/>
    </row>
    <row r="52" spans="2:11" ht="15" customHeight="1">
      <c r="B52" s="475">
        <v>80</v>
      </c>
      <c r="C52" s="31">
        <v>7</v>
      </c>
      <c r="D52" s="470">
        <v>80</v>
      </c>
      <c r="E52" s="470">
        <v>80</v>
      </c>
      <c r="F52" s="35">
        <v>7</v>
      </c>
      <c r="G52" s="470">
        <v>10</v>
      </c>
      <c r="H52" s="470">
        <v>5</v>
      </c>
      <c r="I52" s="40">
        <v>10.8</v>
      </c>
      <c r="J52" s="40">
        <v>8.49</v>
      </c>
      <c r="K52" s="467">
        <v>0.311</v>
      </c>
    </row>
    <row r="53" spans="2:11" ht="15" customHeight="1">
      <c r="B53" s="476"/>
      <c r="C53" s="31">
        <v>8</v>
      </c>
      <c r="D53" s="471"/>
      <c r="E53" s="471"/>
      <c r="F53" s="35">
        <v>8</v>
      </c>
      <c r="G53" s="471"/>
      <c r="H53" s="471"/>
      <c r="I53" s="40">
        <v>12.3</v>
      </c>
      <c r="J53" s="40">
        <v>9.66</v>
      </c>
      <c r="K53" s="469"/>
    </row>
    <row r="54" spans="2:11" ht="15" customHeight="1">
      <c r="B54" s="476"/>
      <c r="C54" s="31">
        <v>10</v>
      </c>
      <c r="D54" s="471"/>
      <c r="E54" s="471"/>
      <c r="F54" s="35">
        <v>10</v>
      </c>
      <c r="G54" s="471"/>
      <c r="H54" s="471"/>
      <c r="I54" s="40">
        <v>15.1</v>
      </c>
      <c r="J54" s="40">
        <v>11.9</v>
      </c>
      <c r="K54" s="469"/>
    </row>
    <row r="55" spans="2:11" ht="15" customHeight="1">
      <c r="B55" s="476"/>
      <c r="C55" s="31">
        <v>12</v>
      </c>
      <c r="D55" s="471"/>
      <c r="E55" s="471"/>
      <c r="F55" s="35">
        <v>12</v>
      </c>
      <c r="G55" s="471"/>
      <c r="H55" s="471"/>
      <c r="I55" s="40">
        <v>17.899999999999999</v>
      </c>
      <c r="J55" s="40">
        <v>14.1</v>
      </c>
      <c r="K55" s="469"/>
    </row>
    <row r="56" spans="2:11" ht="15" customHeight="1">
      <c r="B56" s="476"/>
      <c r="C56" s="31">
        <v>14</v>
      </c>
      <c r="D56" s="472"/>
      <c r="E56" s="472"/>
      <c r="F56" s="35">
        <v>14</v>
      </c>
      <c r="G56" s="472"/>
      <c r="H56" s="472"/>
      <c r="I56" s="40">
        <v>20.6</v>
      </c>
      <c r="J56" s="40">
        <v>16.100000000000001</v>
      </c>
      <c r="K56" s="468"/>
    </row>
    <row r="57" spans="2:11" ht="15" customHeight="1">
      <c r="B57" s="475">
        <v>90</v>
      </c>
      <c r="C57" s="31">
        <v>8</v>
      </c>
      <c r="D57" s="470">
        <v>90</v>
      </c>
      <c r="E57" s="470">
        <v>90</v>
      </c>
      <c r="F57" s="35">
        <v>8</v>
      </c>
      <c r="G57" s="470">
        <v>11</v>
      </c>
      <c r="H57" s="470">
        <v>5.5</v>
      </c>
      <c r="I57" s="40">
        <v>13.9</v>
      </c>
      <c r="J57" s="40">
        <v>10.9</v>
      </c>
      <c r="K57" s="467">
        <v>0.35099999999999998</v>
      </c>
    </row>
    <row r="58" spans="2:11" ht="15" customHeight="1">
      <c r="B58" s="476"/>
      <c r="C58" s="31">
        <v>9</v>
      </c>
      <c r="D58" s="471"/>
      <c r="E58" s="471"/>
      <c r="F58" s="35">
        <v>9</v>
      </c>
      <c r="G58" s="471"/>
      <c r="H58" s="471"/>
      <c r="I58" s="40">
        <v>15.5</v>
      </c>
      <c r="J58" s="40">
        <v>12.2</v>
      </c>
      <c r="K58" s="469"/>
    </row>
    <row r="59" spans="2:11" ht="15" customHeight="1">
      <c r="B59" s="476"/>
      <c r="C59" s="31">
        <v>11</v>
      </c>
      <c r="D59" s="471"/>
      <c r="E59" s="471"/>
      <c r="F59" s="35">
        <v>11</v>
      </c>
      <c r="G59" s="471"/>
      <c r="H59" s="471"/>
      <c r="I59" s="40">
        <v>18.7</v>
      </c>
      <c r="J59" s="40">
        <v>14.7</v>
      </c>
      <c r="K59" s="469"/>
    </row>
    <row r="60" spans="2:11" ht="15" customHeight="1">
      <c r="B60" s="476"/>
      <c r="C60" s="31">
        <v>13</v>
      </c>
      <c r="D60" s="471"/>
      <c r="E60" s="471"/>
      <c r="F60" s="35">
        <v>13</v>
      </c>
      <c r="G60" s="471"/>
      <c r="H60" s="471"/>
      <c r="I60" s="40">
        <v>21.8</v>
      </c>
      <c r="J60" s="40">
        <v>17.100000000000001</v>
      </c>
      <c r="K60" s="469"/>
    </row>
    <row r="61" spans="2:11" ht="15" customHeight="1">
      <c r="B61" s="476"/>
      <c r="C61" s="31">
        <v>16</v>
      </c>
      <c r="D61" s="472"/>
      <c r="E61" s="472"/>
      <c r="F61" s="35">
        <v>16</v>
      </c>
      <c r="G61" s="472"/>
      <c r="H61" s="472"/>
      <c r="I61" s="40">
        <v>26.4</v>
      </c>
      <c r="J61" s="40">
        <v>16.100000000000001</v>
      </c>
      <c r="K61" s="468"/>
    </row>
    <row r="62" spans="2:11" ht="15" customHeight="1">
      <c r="B62" s="475">
        <v>100</v>
      </c>
      <c r="C62" s="31">
        <v>8</v>
      </c>
      <c r="D62" s="470">
        <v>100</v>
      </c>
      <c r="E62" s="470">
        <v>100</v>
      </c>
      <c r="F62" s="35">
        <v>8</v>
      </c>
      <c r="G62" s="470">
        <v>12</v>
      </c>
      <c r="H62" s="470">
        <v>6</v>
      </c>
      <c r="I62" s="40">
        <v>15.5</v>
      </c>
      <c r="J62" s="40">
        <v>12.2</v>
      </c>
      <c r="K62" s="467">
        <v>0.39</v>
      </c>
    </row>
    <row r="63" spans="2:11" ht="15" customHeight="1">
      <c r="B63" s="476"/>
      <c r="C63" s="33">
        <v>10</v>
      </c>
      <c r="D63" s="471"/>
      <c r="E63" s="471"/>
      <c r="F63" s="37">
        <v>10</v>
      </c>
      <c r="G63" s="471"/>
      <c r="H63" s="471"/>
      <c r="I63" s="41">
        <v>19.2</v>
      </c>
      <c r="J63" s="41">
        <v>15.1</v>
      </c>
      <c r="K63" s="469"/>
    </row>
    <row r="64" spans="2:11" ht="15" customHeight="1">
      <c r="B64" s="476"/>
      <c r="C64" s="33">
        <v>12</v>
      </c>
      <c r="D64" s="471"/>
      <c r="E64" s="471"/>
      <c r="F64" s="37">
        <v>12</v>
      </c>
      <c r="G64" s="471"/>
      <c r="H64" s="471"/>
      <c r="I64" s="41">
        <v>27.7</v>
      </c>
      <c r="J64" s="41">
        <v>17.8</v>
      </c>
      <c r="K64" s="469"/>
    </row>
    <row r="65" spans="2:11" ht="15" customHeight="1">
      <c r="B65" s="476"/>
      <c r="C65" s="33">
        <v>14</v>
      </c>
      <c r="D65" s="471"/>
      <c r="E65" s="471"/>
      <c r="F65" s="37">
        <v>14</v>
      </c>
      <c r="G65" s="471"/>
      <c r="H65" s="471"/>
      <c r="I65" s="41">
        <v>26.2</v>
      </c>
      <c r="J65" s="41">
        <v>20.6</v>
      </c>
      <c r="K65" s="469"/>
    </row>
    <row r="66" spans="2:11" ht="15" customHeight="1">
      <c r="B66" s="476"/>
      <c r="C66" s="33">
        <v>16</v>
      </c>
      <c r="D66" s="471"/>
      <c r="E66" s="471"/>
      <c r="F66" s="37">
        <v>16</v>
      </c>
      <c r="G66" s="471"/>
      <c r="H66" s="471"/>
      <c r="I66" s="41">
        <v>29.6</v>
      </c>
      <c r="J66" s="41">
        <v>23.2</v>
      </c>
      <c r="K66" s="469"/>
    </row>
    <row r="67" spans="2:11" ht="15" customHeight="1">
      <c r="B67" s="476"/>
      <c r="C67" s="33">
        <v>20</v>
      </c>
      <c r="D67" s="472"/>
      <c r="E67" s="472"/>
      <c r="F67" s="37">
        <v>20</v>
      </c>
      <c r="G67" s="472"/>
      <c r="H67" s="472"/>
      <c r="I67" s="41">
        <v>36.200000000000003</v>
      </c>
      <c r="J67" s="41">
        <v>28.4</v>
      </c>
      <c r="K67" s="468"/>
    </row>
    <row r="68" spans="2:11" ht="15" customHeight="1">
      <c r="B68" s="475">
        <v>110</v>
      </c>
      <c r="C68" s="33">
        <v>10</v>
      </c>
      <c r="D68" s="470">
        <v>110</v>
      </c>
      <c r="E68" s="470">
        <v>110</v>
      </c>
      <c r="F68" s="37">
        <v>10</v>
      </c>
      <c r="G68" s="470">
        <v>12</v>
      </c>
      <c r="H68" s="470">
        <v>6</v>
      </c>
      <c r="I68" s="41">
        <v>21.2</v>
      </c>
      <c r="J68" s="41">
        <v>16.600000000000001</v>
      </c>
      <c r="K68" s="467">
        <v>0.43</v>
      </c>
    </row>
    <row r="69" spans="2:11" ht="15" customHeight="1">
      <c r="B69" s="476"/>
      <c r="C69" s="33">
        <v>12</v>
      </c>
      <c r="D69" s="471"/>
      <c r="E69" s="471"/>
      <c r="F69" s="37">
        <v>12</v>
      </c>
      <c r="G69" s="471"/>
      <c r="H69" s="471"/>
      <c r="I69" s="41">
        <v>25.1</v>
      </c>
      <c r="J69" s="41">
        <v>19.7</v>
      </c>
      <c r="K69" s="469"/>
    </row>
    <row r="70" spans="2:11" ht="15" customHeight="1">
      <c r="B70" s="476"/>
      <c r="C70" s="33">
        <v>14</v>
      </c>
      <c r="D70" s="472"/>
      <c r="E70" s="472"/>
      <c r="F70" s="37">
        <v>14</v>
      </c>
      <c r="G70" s="472"/>
      <c r="H70" s="472"/>
      <c r="I70" s="41">
        <v>29</v>
      </c>
      <c r="J70" s="41">
        <v>22.8</v>
      </c>
      <c r="K70" s="468"/>
    </row>
    <row r="71" spans="2:11" ht="15" customHeight="1">
      <c r="B71" s="475">
        <v>120</v>
      </c>
      <c r="C71" s="33">
        <v>11</v>
      </c>
      <c r="D71" s="470">
        <v>120</v>
      </c>
      <c r="E71" s="470">
        <v>120</v>
      </c>
      <c r="F71" s="37">
        <v>11</v>
      </c>
      <c r="G71" s="470">
        <v>13</v>
      </c>
      <c r="H71" s="470">
        <v>6.5</v>
      </c>
      <c r="I71" s="41">
        <v>25.4</v>
      </c>
      <c r="J71" s="41">
        <v>19.899999999999999</v>
      </c>
      <c r="K71" s="467">
        <v>0.46899999999999997</v>
      </c>
    </row>
    <row r="72" spans="2:11" ht="15" customHeight="1">
      <c r="B72" s="476"/>
      <c r="C72" s="33">
        <v>12</v>
      </c>
      <c r="D72" s="471"/>
      <c r="E72" s="471"/>
      <c r="F72" s="37">
        <v>12</v>
      </c>
      <c r="G72" s="471"/>
      <c r="H72" s="471"/>
      <c r="I72" s="41">
        <v>27.5</v>
      </c>
      <c r="J72" s="41">
        <v>21.6</v>
      </c>
      <c r="K72" s="469"/>
    </row>
    <row r="73" spans="2:11" ht="15" customHeight="1">
      <c r="B73" s="476"/>
      <c r="C73" s="33">
        <v>13</v>
      </c>
      <c r="D73" s="471"/>
      <c r="E73" s="471"/>
      <c r="F73" s="37">
        <v>13</v>
      </c>
      <c r="G73" s="471"/>
      <c r="H73" s="471"/>
      <c r="I73" s="41">
        <v>29.7</v>
      </c>
      <c r="J73" s="41">
        <v>23.3</v>
      </c>
      <c r="K73" s="469"/>
    </row>
    <row r="74" spans="2:11" ht="15" customHeight="1">
      <c r="B74" s="476"/>
      <c r="C74" s="33">
        <v>15</v>
      </c>
      <c r="D74" s="472"/>
      <c r="E74" s="472"/>
      <c r="F74" s="37">
        <v>15</v>
      </c>
      <c r="G74" s="472"/>
      <c r="H74" s="472"/>
      <c r="I74" s="41">
        <v>33.9</v>
      </c>
      <c r="J74" s="41">
        <v>26.6</v>
      </c>
      <c r="K74" s="468"/>
    </row>
    <row r="75" spans="2:11" ht="15" customHeight="1">
      <c r="B75" s="475">
        <v>130</v>
      </c>
      <c r="C75" s="33">
        <v>12</v>
      </c>
      <c r="D75" s="470">
        <v>130</v>
      </c>
      <c r="E75" s="470">
        <v>130</v>
      </c>
      <c r="F75" s="37">
        <v>12</v>
      </c>
      <c r="G75" s="470">
        <v>14</v>
      </c>
      <c r="H75" s="470">
        <v>7</v>
      </c>
      <c r="I75" s="41">
        <v>30</v>
      </c>
      <c r="J75" s="41">
        <v>23.6</v>
      </c>
      <c r="K75" s="467">
        <v>0.50800000000000001</v>
      </c>
    </row>
    <row r="76" spans="2:11" ht="15" customHeight="1">
      <c r="B76" s="476"/>
      <c r="C76" s="33">
        <v>14</v>
      </c>
      <c r="D76" s="471"/>
      <c r="E76" s="471"/>
      <c r="F76" s="37">
        <v>14</v>
      </c>
      <c r="G76" s="471"/>
      <c r="H76" s="471"/>
      <c r="I76" s="41">
        <v>34.700000000000003</v>
      </c>
      <c r="J76" s="41">
        <v>27.2</v>
      </c>
      <c r="K76" s="469"/>
    </row>
    <row r="77" spans="2:11" ht="15" customHeight="1">
      <c r="B77" s="476"/>
      <c r="C77" s="33">
        <v>16</v>
      </c>
      <c r="D77" s="472"/>
      <c r="E77" s="472"/>
      <c r="F77" s="37">
        <v>16</v>
      </c>
      <c r="G77" s="472"/>
      <c r="H77" s="472"/>
      <c r="I77" s="41">
        <v>39.299999999999997</v>
      </c>
      <c r="J77" s="41">
        <v>30.9</v>
      </c>
      <c r="K77" s="468"/>
    </row>
    <row r="78" spans="2:11" ht="15" customHeight="1">
      <c r="B78" s="475">
        <v>140</v>
      </c>
      <c r="C78" s="33">
        <v>13</v>
      </c>
      <c r="D78" s="470">
        <v>140</v>
      </c>
      <c r="E78" s="470">
        <v>140</v>
      </c>
      <c r="F78" s="37">
        <v>13</v>
      </c>
      <c r="G78" s="470">
        <v>15</v>
      </c>
      <c r="H78" s="470">
        <v>7.5</v>
      </c>
      <c r="I78" s="41">
        <v>35</v>
      </c>
      <c r="J78" s="41">
        <v>27.5</v>
      </c>
      <c r="K78" s="467">
        <v>0.54700000000000004</v>
      </c>
    </row>
    <row r="79" spans="2:11" ht="15" customHeight="1">
      <c r="B79" s="476"/>
      <c r="C79" s="33">
        <v>15</v>
      </c>
      <c r="D79" s="472"/>
      <c r="E79" s="472"/>
      <c r="F79" s="37">
        <v>15</v>
      </c>
      <c r="G79" s="472"/>
      <c r="H79" s="472"/>
      <c r="I79" s="41">
        <v>40</v>
      </c>
      <c r="J79" s="41">
        <v>31.4</v>
      </c>
      <c r="K79" s="468"/>
    </row>
    <row r="80" spans="2:11" ht="15" customHeight="1">
      <c r="B80" s="475">
        <v>150</v>
      </c>
      <c r="C80" s="33">
        <v>12</v>
      </c>
      <c r="D80" s="470">
        <v>150</v>
      </c>
      <c r="E80" s="470">
        <v>150</v>
      </c>
      <c r="F80" s="37">
        <v>12</v>
      </c>
      <c r="G80" s="470">
        <v>16</v>
      </c>
      <c r="H80" s="470">
        <v>8</v>
      </c>
      <c r="I80" s="41">
        <v>34.799999999999997</v>
      </c>
      <c r="J80" s="41">
        <v>27.3</v>
      </c>
      <c r="K80" s="467">
        <v>0.58599999999999997</v>
      </c>
    </row>
    <row r="81" spans="2:11" ht="15" customHeight="1">
      <c r="B81" s="476"/>
      <c r="C81" s="33">
        <v>14</v>
      </c>
      <c r="D81" s="471"/>
      <c r="E81" s="471"/>
      <c r="F81" s="37">
        <v>14</v>
      </c>
      <c r="G81" s="471"/>
      <c r="H81" s="471"/>
      <c r="I81" s="41">
        <v>40.299999999999997</v>
      </c>
      <c r="J81" s="41">
        <v>31.6</v>
      </c>
      <c r="K81" s="469"/>
    </row>
    <row r="82" spans="2:11" ht="15" customHeight="1">
      <c r="B82" s="476"/>
      <c r="C82" s="33">
        <v>15</v>
      </c>
      <c r="D82" s="471"/>
      <c r="E82" s="471"/>
      <c r="F82" s="37">
        <v>15</v>
      </c>
      <c r="G82" s="471"/>
      <c r="H82" s="471"/>
      <c r="I82" s="41">
        <v>43</v>
      </c>
      <c r="J82" s="41">
        <v>33.799999999999997</v>
      </c>
      <c r="K82" s="469"/>
    </row>
    <row r="83" spans="2:11" ht="15" customHeight="1">
      <c r="B83" s="476"/>
      <c r="C83" s="33">
        <v>16</v>
      </c>
      <c r="D83" s="471"/>
      <c r="E83" s="471"/>
      <c r="F83" s="37">
        <v>16</v>
      </c>
      <c r="G83" s="471"/>
      <c r="H83" s="471"/>
      <c r="I83" s="41">
        <v>45.7</v>
      </c>
      <c r="J83" s="41">
        <v>35.9</v>
      </c>
      <c r="K83" s="469"/>
    </row>
    <row r="84" spans="2:11" ht="15" customHeight="1">
      <c r="B84" s="476"/>
      <c r="C84" s="33">
        <v>18</v>
      </c>
      <c r="D84" s="471"/>
      <c r="E84" s="471"/>
      <c r="F84" s="37">
        <v>18</v>
      </c>
      <c r="G84" s="471"/>
      <c r="H84" s="471"/>
      <c r="I84" s="41">
        <v>51</v>
      </c>
      <c r="J84" s="41">
        <v>40.1</v>
      </c>
      <c r="K84" s="469"/>
    </row>
    <row r="85" spans="2:11" ht="15" customHeight="1">
      <c r="B85" s="476"/>
      <c r="C85" s="33">
        <v>20</v>
      </c>
      <c r="D85" s="472"/>
      <c r="E85" s="472"/>
      <c r="F85" s="37">
        <v>20</v>
      </c>
      <c r="G85" s="472"/>
      <c r="H85" s="472"/>
      <c r="I85" s="41">
        <v>56.3</v>
      </c>
      <c r="J85" s="41">
        <v>44.2</v>
      </c>
      <c r="K85" s="468"/>
    </row>
    <row r="86" spans="2:11" ht="15" customHeight="1">
      <c r="B86" s="475">
        <v>160</v>
      </c>
      <c r="C86" s="33">
        <v>15</v>
      </c>
      <c r="D86" s="470">
        <v>160</v>
      </c>
      <c r="E86" s="470">
        <v>160</v>
      </c>
      <c r="F86" s="37">
        <v>15</v>
      </c>
      <c r="G86" s="470">
        <v>17</v>
      </c>
      <c r="H86" s="470">
        <v>8.5</v>
      </c>
      <c r="I86" s="41">
        <v>46.1</v>
      </c>
      <c r="J86" s="41">
        <v>36.200000000000003</v>
      </c>
      <c r="K86" s="467">
        <v>0.625</v>
      </c>
    </row>
    <row r="87" spans="2:11" ht="15" customHeight="1">
      <c r="B87" s="476"/>
      <c r="C87" s="33">
        <v>17</v>
      </c>
      <c r="D87" s="471"/>
      <c r="E87" s="471"/>
      <c r="F87" s="37">
        <v>17</v>
      </c>
      <c r="G87" s="471"/>
      <c r="H87" s="471"/>
      <c r="I87" s="41">
        <v>51.8</v>
      </c>
      <c r="J87" s="41">
        <v>40.700000000000003</v>
      </c>
      <c r="K87" s="469"/>
    </row>
    <row r="88" spans="2:11" ht="15" customHeight="1">
      <c r="B88" s="476"/>
      <c r="C88" s="33">
        <v>19</v>
      </c>
      <c r="D88" s="472"/>
      <c r="E88" s="472"/>
      <c r="F88" s="37">
        <v>19</v>
      </c>
      <c r="G88" s="472"/>
      <c r="H88" s="472"/>
      <c r="I88" s="41">
        <v>57.5</v>
      </c>
      <c r="J88" s="41">
        <v>45.1</v>
      </c>
      <c r="K88" s="468"/>
    </row>
    <row r="89" spans="2:11" ht="15" customHeight="1">
      <c r="B89" s="475">
        <v>170</v>
      </c>
      <c r="C89" s="33">
        <v>16</v>
      </c>
      <c r="D89" s="470">
        <v>170</v>
      </c>
      <c r="E89" s="470">
        <v>170</v>
      </c>
      <c r="F89" s="37">
        <v>16</v>
      </c>
      <c r="G89" s="470">
        <v>18</v>
      </c>
      <c r="H89" s="470">
        <v>9</v>
      </c>
      <c r="I89" s="41">
        <v>55.4</v>
      </c>
      <c r="J89" s="41">
        <v>43.5</v>
      </c>
      <c r="K89" s="467">
        <v>0.70499999999999996</v>
      </c>
    </row>
    <row r="90" spans="2:11" ht="15" customHeight="1">
      <c r="B90" s="476"/>
      <c r="C90" s="33">
        <v>18</v>
      </c>
      <c r="D90" s="471"/>
      <c r="E90" s="471"/>
      <c r="F90" s="37">
        <v>18</v>
      </c>
      <c r="G90" s="471"/>
      <c r="H90" s="471"/>
      <c r="I90" s="41">
        <v>61.9</v>
      </c>
      <c r="J90" s="41">
        <v>48.6</v>
      </c>
      <c r="K90" s="469"/>
    </row>
    <row r="91" spans="2:11" ht="15" customHeight="1">
      <c r="B91" s="476"/>
      <c r="C91" s="33">
        <v>20</v>
      </c>
      <c r="D91" s="471"/>
      <c r="E91" s="471"/>
      <c r="F91" s="37">
        <v>20</v>
      </c>
      <c r="G91" s="471"/>
      <c r="H91" s="471"/>
      <c r="I91" s="41">
        <v>68.400000000000006</v>
      </c>
      <c r="J91" s="41">
        <v>53.7</v>
      </c>
      <c r="K91" s="469"/>
    </row>
    <row r="92" spans="2:11" ht="15" customHeight="1">
      <c r="B92" s="476"/>
      <c r="C92" s="33">
        <v>22</v>
      </c>
      <c r="D92" s="472"/>
      <c r="E92" s="472"/>
      <c r="F92" s="37">
        <v>22</v>
      </c>
      <c r="G92" s="472"/>
      <c r="H92" s="472"/>
      <c r="I92" s="41">
        <v>74.7</v>
      </c>
      <c r="J92" s="41">
        <v>58.6</v>
      </c>
      <c r="K92" s="468"/>
    </row>
    <row r="93" spans="2:11" ht="15" customHeight="1">
      <c r="B93" s="475">
        <v>180</v>
      </c>
      <c r="C93" s="33">
        <v>16</v>
      </c>
      <c r="D93" s="470">
        <v>180</v>
      </c>
      <c r="E93" s="470">
        <v>180</v>
      </c>
      <c r="F93" s="37">
        <v>16</v>
      </c>
      <c r="G93" s="470">
        <v>18</v>
      </c>
      <c r="H93" s="470">
        <v>9</v>
      </c>
      <c r="I93" s="41">
        <v>61.8</v>
      </c>
      <c r="J93" s="41">
        <v>48.5</v>
      </c>
      <c r="K93" s="467">
        <v>0.78500000000000003</v>
      </c>
    </row>
    <row r="94" spans="2:11" ht="15" customHeight="1">
      <c r="B94" s="476"/>
      <c r="C94" s="33">
        <v>16</v>
      </c>
      <c r="D94" s="471"/>
      <c r="E94" s="471"/>
      <c r="F94" s="37">
        <v>16</v>
      </c>
      <c r="G94" s="471"/>
      <c r="H94" s="471"/>
      <c r="I94" s="41">
        <v>69.099999999999994</v>
      </c>
      <c r="J94" s="41">
        <v>54.3</v>
      </c>
      <c r="K94" s="469"/>
    </row>
    <row r="95" spans="2:11" ht="15" customHeight="1">
      <c r="B95" s="476"/>
      <c r="C95" s="33">
        <v>20</v>
      </c>
      <c r="D95" s="471"/>
      <c r="E95" s="471"/>
      <c r="F95" s="37">
        <v>20</v>
      </c>
      <c r="G95" s="471"/>
      <c r="H95" s="471"/>
      <c r="I95" s="41">
        <v>76.400000000000006</v>
      </c>
      <c r="J95" s="41">
        <v>59.9</v>
      </c>
      <c r="K95" s="469"/>
    </row>
    <row r="96" spans="2:11" ht="15" customHeight="1">
      <c r="B96" s="476"/>
      <c r="C96" s="33">
        <v>24</v>
      </c>
      <c r="D96" s="471"/>
      <c r="E96" s="471"/>
      <c r="F96" s="37">
        <v>24</v>
      </c>
      <c r="G96" s="471"/>
      <c r="H96" s="471"/>
      <c r="I96" s="41">
        <v>90.6</v>
      </c>
      <c r="J96" s="41">
        <v>71.099999999999994</v>
      </c>
      <c r="K96" s="469"/>
    </row>
    <row r="97" spans="2:11" ht="15" customHeight="1">
      <c r="B97" s="476"/>
      <c r="C97" s="33">
        <v>28</v>
      </c>
      <c r="D97" s="472"/>
      <c r="E97" s="472"/>
      <c r="F97" s="37">
        <v>28</v>
      </c>
      <c r="G97" s="472"/>
      <c r="H97" s="472"/>
      <c r="I97" s="41">
        <v>105</v>
      </c>
      <c r="J97" s="41">
        <v>82</v>
      </c>
      <c r="K97" s="468"/>
    </row>
    <row r="98" spans="2:11" ht="15" customHeight="1">
      <c r="B98" s="475" t="s">
        <v>43</v>
      </c>
      <c r="C98" s="65">
        <v>4</v>
      </c>
      <c r="D98" s="470">
        <v>50</v>
      </c>
      <c r="E98" s="470">
        <v>40</v>
      </c>
      <c r="F98" s="38">
        <v>4</v>
      </c>
      <c r="G98" s="470">
        <v>4</v>
      </c>
      <c r="H98" s="470">
        <v>2</v>
      </c>
      <c r="I98" s="41">
        <v>3.46</v>
      </c>
      <c r="J98" s="41">
        <v>2.71</v>
      </c>
      <c r="K98" s="467">
        <v>0.17699999999999999</v>
      </c>
    </row>
    <row r="99" spans="2:11" ht="15" customHeight="1">
      <c r="B99" s="477"/>
      <c r="C99" s="65">
        <v>5</v>
      </c>
      <c r="D99" s="472"/>
      <c r="E99" s="472"/>
      <c r="F99" s="38">
        <v>5</v>
      </c>
      <c r="G99" s="472"/>
      <c r="H99" s="472"/>
      <c r="I99" s="41">
        <v>4.2699999999999996</v>
      </c>
      <c r="J99" s="41">
        <v>3.35</v>
      </c>
      <c r="K99" s="468"/>
    </row>
    <row r="100" spans="2:11" ht="15" customHeight="1">
      <c r="B100" s="475" t="s">
        <v>44</v>
      </c>
      <c r="C100" s="65">
        <v>5</v>
      </c>
      <c r="D100" s="470">
        <v>65</v>
      </c>
      <c r="E100" s="470">
        <v>50</v>
      </c>
      <c r="F100" s="38">
        <v>5</v>
      </c>
      <c r="G100" s="470">
        <v>6.5</v>
      </c>
      <c r="H100" s="470">
        <v>3.5</v>
      </c>
      <c r="I100" s="41">
        <v>5.54</v>
      </c>
      <c r="J100" s="41">
        <v>4.3499999999999996</v>
      </c>
      <c r="K100" s="467">
        <v>0.224</v>
      </c>
    </row>
    <row r="101" spans="2:11" ht="15" customHeight="1">
      <c r="B101" s="476"/>
      <c r="C101" s="65">
        <v>7</v>
      </c>
      <c r="D101" s="471"/>
      <c r="E101" s="471"/>
      <c r="F101" s="38">
        <v>7</v>
      </c>
      <c r="G101" s="471"/>
      <c r="H101" s="471"/>
      <c r="I101" s="41">
        <v>7.6</v>
      </c>
      <c r="J101" s="41">
        <v>5.97</v>
      </c>
      <c r="K101" s="469"/>
    </row>
    <row r="102" spans="2:11" ht="15" customHeight="1">
      <c r="B102" s="477"/>
      <c r="C102" s="65">
        <v>9</v>
      </c>
      <c r="D102" s="472"/>
      <c r="E102" s="472"/>
      <c r="F102" s="38">
        <v>9</v>
      </c>
      <c r="G102" s="472"/>
      <c r="H102" s="472"/>
      <c r="I102" s="41">
        <v>9.58</v>
      </c>
      <c r="J102" s="41">
        <v>7.52</v>
      </c>
      <c r="K102" s="468"/>
    </row>
    <row r="103" spans="2:11" ht="15" customHeight="1">
      <c r="B103" s="475" t="s">
        <v>45</v>
      </c>
      <c r="C103" s="65">
        <v>6</v>
      </c>
      <c r="D103" s="470">
        <v>80</v>
      </c>
      <c r="E103" s="470">
        <v>65</v>
      </c>
      <c r="F103" s="38">
        <v>5</v>
      </c>
      <c r="G103" s="470">
        <v>8</v>
      </c>
      <c r="H103" s="470">
        <v>4</v>
      </c>
      <c r="I103" s="41">
        <v>8.41</v>
      </c>
      <c r="J103" s="41">
        <v>6.6</v>
      </c>
      <c r="K103" s="467">
        <v>0.28299999999999997</v>
      </c>
    </row>
    <row r="104" spans="2:11" ht="15" customHeight="1">
      <c r="B104" s="476"/>
      <c r="C104" s="65">
        <v>8</v>
      </c>
      <c r="D104" s="471"/>
      <c r="E104" s="471"/>
      <c r="F104" s="38">
        <v>6</v>
      </c>
      <c r="G104" s="471"/>
      <c r="H104" s="471"/>
      <c r="I104" s="41">
        <v>11</v>
      </c>
      <c r="J104" s="41">
        <v>8.66</v>
      </c>
      <c r="K104" s="469"/>
    </row>
    <row r="105" spans="2:11" ht="15" customHeight="1">
      <c r="B105" s="477"/>
      <c r="C105" s="65">
        <v>10</v>
      </c>
      <c r="D105" s="472"/>
      <c r="E105" s="472"/>
      <c r="F105" s="38">
        <v>10</v>
      </c>
      <c r="G105" s="472"/>
      <c r="H105" s="472"/>
      <c r="I105" s="41">
        <v>13.6</v>
      </c>
      <c r="J105" s="41">
        <v>10.7</v>
      </c>
      <c r="K105" s="468"/>
    </row>
    <row r="106" spans="2:11" ht="15" customHeight="1">
      <c r="B106" s="475" t="s">
        <v>46</v>
      </c>
      <c r="C106" s="65">
        <v>7</v>
      </c>
      <c r="D106" s="470">
        <v>100</v>
      </c>
      <c r="E106" s="470">
        <v>75</v>
      </c>
      <c r="F106" s="38">
        <v>7</v>
      </c>
      <c r="G106" s="470">
        <v>10</v>
      </c>
      <c r="H106" s="470">
        <v>5</v>
      </c>
      <c r="I106" s="41">
        <v>11.9</v>
      </c>
      <c r="J106" s="41">
        <v>9.32</v>
      </c>
      <c r="K106" s="467">
        <v>0.34100000000000003</v>
      </c>
    </row>
    <row r="107" spans="2:11" ht="15" customHeight="1">
      <c r="B107" s="476"/>
      <c r="C107" s="65">
        <v>9</v>
      </c>
      <c r="D107" s="471"/>
      <c r="E107" s="471"/>
      <c r="F107" s="38">
        <v>9</v>
      </c>
      <c r="G107" s="471"/>
      <c r="H107" s="471"/>
      <c r="I107" s="41">
        <v>15.1</v>
      </c>
      <c r="J107" s="41">
        <v>11.8</v>
      </c>
      <c r="K107" s="469"/>
    </row>
    <row r="108" spans="2:11" ht="15" customHeight="1">
      <c r="B108" s="477"/>
      <c r="C108" s="65">
        <v>11</v>
      </c>
      <c r="D108" s="472"/>
      <c r="E108" s="472"/>
      <c r="F108" s="38">
        <v>11</v>
      </c>
      <c r="G108" s="472"/>
      <c r="H108" s="472"/>
      <c r="I108" s="41">
        <v>18.2</v>
      </c>
      <c r="J108" s="41">
        <v>14.3</v>
      </c>
      <c r="K108" s="468"/>
    </row>
    <row r="109" spans="2:11" ht="15" customHeight="1">
      <c r="B109" s="475" t="s">
        <v>47</v>
      </c>
      <c r="C109" s="65">
        <v>10</v>
      </c>
      <c r="D109" s="470">
        <v>150</v>
      </c>
      <c r="E109" s="470">
        <v>100</v>
      </c>
      <c r="F109" s="38">
        <v>10</v>
      </c>
      <c r="G109" s="470">
        <v>13</v>
      </c>
      <c r="H109" s="470">
        <v>6.5</v>
      </c>
      <c r="I109" s="41">
        <v>24.2</v>
      </c>
      <c r="J109" s="41">
        <v>19</v>
      </c>
      <c r="K109" s="467">
        <v>0.48899999999999999</v>
      </c>
    </row>
    <row r="110" spans="2:11" ht="15" customHeight="1">
      <c r="B110" s="476"/>
      <c r="C110" s="65">
        <v>12</v>
      </c>
      <c r="D110" s="471"/>
      <c r="E110" s="471"/>
      <c r="F110" s="38">
        <v>12</v>
      </c>
      <c r="G110" s="471"/>
      <c r="H110" s="471"/>
      <c r="I110" s="41">
        <v>28.7</v>
      </c>
      <c r="J110" s="41">
        <v>22.6</v>
      </c>
      <c r="K110" s="469"/>
    </row>
    <row r="111" spans="2:11" ht="15" customHeight="1" thickBot="1">
      <c r="B111" s="478"/>
      <c r="C111" s="66">
        <v>14</v>
      </c>
      <c r="D111" s="473"/>
      <c r="E111" s="473"/>
      <c r="F111" s="39">
        <v>14</v>
      </c>
      <c r="G111" s="473"/>
      <c r="H111" s="473"/>
      <c r="I111" s="42">
        <v>33.200000000000003</v>
      </c>
      <c r="J111" s="42">
        <v>26.1</v>
      </c>
      <c r="K111" s="474"/>
    </row>
    <row r="112" spans="2:11" ht="15" customHeight="1" thickTop="1">
      <c r="B112" s="1"/>
      <c r="C112" s="1"/>
      <c r="D112" s="1"/>
      <c r="E112" s="1"/>
      <c r="F112" s="1"/>
      <c r="G112" s="1"/>
      <c r="H112" s="1"/>
      <c r="I112" s="1"/>
      <c r="J112" s="1"/>
      <c r="K112" s="1"/>
    </row>
    <row r="113" spans="2:11" ht="15" customHeight="1">
      <c r="B113" s="1"/>
      <c r="C113" s="1"/>
      <c r="D113" s="1"/>
      <c r="E113" s="1"/>
      <c r="F113" s="1"/>
      <c r="G113" s="1"/>
      <c r="H113" s="1"/>
      <c r="I113" s="1"/>
      <c r="J113" s="1"/>
      <c r="K113" s="1"/>
    </row>
    <row r="114" spans="2:11" ht="15" customHeight="1">
      <c r="B114" s="1"/>
      <c r="C114" s="1"/>
      <c r="D114" s="1"/>
      <c r="E114" s="1"/>
      <c r="F114" s="1"/>
      <c r="G114" s="1"/>
      <c r="H114" s="1"/>
      <c r="I114" s="1"/>
      <c r="J114" s="1"/>
      <c r="K114" s="1"/>
    </row>
    <row r="115" spans="2:11" ht="15" customHeight="1">
      <c r="B115" s="1"/>
      <c r="C115" s="1"/>
      <c r="D115" s="1"/>
      <c r="E115" s="1"/>
      <c r="F115" s="1"/>
      <c r="G115" s="1"/>
      <c r="H115" s="1"/>
      <c r="I115" s="1"/>
      <c r="J115" s="1"/>
      <c r="K115" s="1"/>
    </row>
    <row r="116" spans="2:11" ht="15" customHeight="1">
      <c r="B116" s="1"/>
      <c r="C116" s="1"/>
      <c r="D116" s="1"/>
      <c r="E116" s="1"/>
      <c r="F116" s="1"/>
      <c r="G116" s="1"/>
      <c r="H116" s="1"/>
      <c r="I116" s="1"/>
      <c r="J116" s="1"/>
      <c r="K116" s="1"/>
    </row>
    <row r="117" spans="2:11" ht="15" customHeight="1">
      <c r="B117" s="1"/>
      <c r="C117" s="1"/>
      <c r="D117" s="1"/>
      <c r="E117" s="1"/>
      <c r="F117" s="1"/>
      <c r="G117" s="1"/>
      <c r="H117" s="1"/>
      <c r="I117" s="1"/>
      <c r="J117" s="1"/>
      <c r="K117" s="1"/>
    </row>
    <row r="118" spans="2:11" ht="15" customHeight="1">
      <c r="B118" s="1"/>
      <c r="C118" s="1"/>
      <c r="D118" s="1"/>
      <c r="E118" s="1"/>
      <c r="F118" s="1"/>
      <c r="G118" s="1"/>
      <c r="H118" s="1"/>
      <c r="I118" s="1"/>
      <c r="J118" s="1"/>
      <c r="K118" s="1"/>
    </row>
    <row r="119" spans="2:11" ht="15" customHeight="1">
      <c r="B119" s="1"/>
      <c r="C119" s="1"/>
      <c r="D119" s="1"/>
      <c r="E119" s="1"/>
      <c r="F119" s="1"/>
      <c r="G119" s="1"/>
      <c r="H119" s="1"/>
      <c r="I119" s="1"/>
      <c r="J119" s="1"/>
      <c r="K119" s="1"/>
    </row>
    <row r="120" spans="2:11" ht="15" customHeight="1"/>
    <row r="121" spans="2:11" ht="15" customHeight="1"/>
    <row r="122" spans="2:11" ht="15" customHeight="1"/>
    <row r="123" spans="2:11" ht="15" customHeight="1"/>
    <row r="124" spans="2:11" ht="15" customHeight="1"/>
    <row r="125" spans="2:11" ht="15" customHeight="1"/>
    <row r="126" spans="2:11" ht="15" customHeight="1"/>
  </sheetData>
  <customSheetViews>
    <customSheetView guid="{C0BE45DA-73C0-4B1E-ABFB-A0FAB57D4E46}" showGridLines="0" showRuler="0">
      <pane xSplit="1" ySplit="4" topLeftCell="B5" activePane="bottomRight" state="frozen"/>
      <selection pane="bottomRight" activeCell="B3" sqref="B3:C4"/>
      <pageMargins left="0.75" right="0.75" top="1" bottom="1" header="0.5" footer="0.5"/>
      <headerFooter alignWithMargins="0"/>
    </customSheetView>
  </customSheetViews>
  <mergeCells count="170">
    <mergeCell ref="E4:E5"/>
    <mergeCell ref="B1:K1"/>
    <mergeCell ref="B2:C3"/>
    <mergeCell ref="D20:D23"/>
    <mergeCell ref="D24:D29"/>
    <mergeCell ref="D38:D42"/>
    <mergeCell ref="D43:D46"/>
    <mergeCell ref="B24:B29"/>
    <mergeCell ref="B30:B33"/>
    <mergeCell ref="B34:B37"/>
    <mergeCell ref="B38:B42"/>
    <mergeCell ref="E6:E8"/>
    <mergeCell ref="E9:E11"/>
    <mergeCell ref="E12:E15"/>
    <mergeCell ref="E38:E42"/>
    <mergeCell ref="E43:E46"/>
    <mergeCell ref="K24:K29"/>
    <mergeCell ref="K30:K33"/>
    <mergeCell ref="K38:K42"/>
    <mergeCell ref="K43:K46"/>
    <mergeCell ref="K34:K37"/>
    <mergeCell ref="B4:B5"/>
    <mergeCell ref="B6:B8"/>
    <mergeCell ref="B9:B11"/>
    <mergeCell ref="B12:B15"/>
    <mergeCell ref="B47:B51"/>
    <mergeCell ref="B52:B56"/>
    <mergeCell ref="B57:B61"/>
    <mergeCell ref="B62:B67"/>
    <mergeCell ref="B43:B46"/>
    <mergeCell ref="D4:D5"/>
    <mergeCell ref="D6:D8"/>
    <mergeCell ref="D9:D11"/>
    <mergeCell ref="D12:D15"/>
    <mergeCell ref="D16:D19"/>
    <mergeCell ref="D47:D51"/>
    <mergeCell ref="D52:D56"/>
    <mergeCell ref="D57:D61"/>
    <mergeCell ref="D62:D67"/>
    <mergeCell ref="B16:B19"/>
    <mergeCell ref="B20:B23"/>
    <mergeCell ref="D30:D33"/>
    <mergeCell ref="D34:D37"/>
    <mergeCell ref="B80:B85"/>
    <mergeCell ref="B86:B88"/>
    <mergeCell ref="B89:B92"/>
    <mergeCell ref="B93:B97"/>
    <mergeCell ref="B68:B70"/>
    <mergeCell ref="B71:B74"/>
    <mergeCell ref="B75:B77"/>
    <mergeCell ref="B78:B79"/>
    <mergeCell ref="D89:D92"/>
    <mergeCell ref="D93:D97"/>
    <mergeCell ref="D68:D70"/>
    <mergeCell ref="D71:D74"/>
    <mergeCell ref="D75:D77"/>
    <mergeCell ref="D78:D79"/>
    <mergeCell ref="D80:D85"/>
    <mergeCell ref="D86:D88"/>
    <mergeCell ref="E47:E51"/>
    <mergeCell ref="E52:E56"/>
    <mergeCell ref="E16:E19"/>
    <mergeCell ref="E20:E23"/>
    <mergeCell ref="E24:E29"/>
    <mergeCell ref="E30:E33"/>
    <mergeCell ref="E34:E37"/>
    <mergeCell ref="E75:E77"/>
    <mergeCell ref="E78:E79"/>
    <mergeCell ref="E80:E85"/>
    <mergeCell ref="E86:E88"/>
    <mergeCell ref="E57:E61"/>
    <mergeCell ref="E62:E67"/>
    <mergeCell ref="E68:E70"/>
    <mergeCell ref="E71:E74"/>
    <mergeCell ref="E89:E92"/>
    <mergeCell ref="E93:E97"/>
    <mergeCell ref="G4:G5"/>
    <mergeCell ref="G6:G8"/>
    <mergeCell ref="G9:G11"/>
    <mergeCell ref="G12:G15"/>
    <mergeCell ref="G16:G19"/>
    <mergeCell ref="G20:G23"/>
    <mergeCell ref="G24:G29"/>
    <mergeCell ref="G30:G33"/>
    <mergeCell ref="G86:G88"/>
    <mergeCell ref="G57:G61"/>
    <mergeCell ref="G62:G67"/>
    <mergeCell ref="G68:G70"/>
    <mergeCell ref="G71:G74"/>
    <mergeCell ref="G38:G42"/>
    <mergeCell ref="G43:G46"/>
    <mergeCell ref="G47:G51"/>
    <mergeCell ref="H78:H79"/>
    <mergeCell ref="H80:H85"/>
    <mergeCell ref="H86:H88"/>
    <mergeCell ref="H57:H61"/>
    <mergeCell ref="H62:H67"/>
    <mergeCell ref="H68:H70"/>
    <mergeCell ref="H71:H74"/>
    <mergeCell ref="G52:G56"/>
    <mergeCell ref="G78:G79"/>
    <mergeCell ref="G80:G85"/>
    <mergeCell ref="H52:H56"/>
    <mergeCell ref="H4:H5"/>
    <mergeCell ref="H6:H8"/>
    <mergeCell ref="H9:H11"/>
    <mergeCell ref="H12:H15"/>
    <mergeCell ref="H16:H19"/>
    <mergeCell ref="H20:H23"/>
    <mergeCell ref="H24:H29"/>
    <mergeCell ref="H30:H33"/>
    <mergeCell ref="G75:G77"/>
    <mergeCell ref="H75:H77"/>
    <mergeCell ref="G34:G37"/>
    <mergeCell ref="H34:H37"/>
    <mergeCell ref="H38:H42"/>
    <mergeCell ref="H43:H46"/>
    <mergeCell ref="H47:H51"/>
    <mergeCell ref="K47:K51"/>
    <mergeCell ref="K52:K56"/>
    <mergeCell ref="K4:K5"/>
    <mergeCell ref="K6:K8"/>
    <mergeCell ref="K9:K11"/>
    <mergeCell ref="K12:K15"/>
    <mergeCell ref="K16:K19"/>
    <mergeCell ref="K20:K23"/>
    <mergeCell ref="K75:K77"/>
    <mergeCell ref="K78:K79"/>
    <mergeCell ref="K80:K85"/>
    <mergeCell ref="K86:K88"/>
    <mergeCell ref="K57:K61"/>
    <mergeCell ref="K62:K67"/>
    <mergeCell ref="K68:K70"/>
    <mergeCell ref="K71:K74"/>
    <mergeCell ref="K89:K92"/>
    <mergeCell ref="K93:K97"/>
    <mergeCell ref="H89:H92"/>
    <mergeCell ref="H93:H97"/>
    <mergeCell ref="G89:G92"/>
    <mergeCell ref="B103:B105"/>
    <mergeCell ref="D103:D105"/>
    <mergeCell ref="E103:E105"/>
    <mergeCell ref="G103:G105"/>
    <mergeCell ref="B100:B102"/>
    <mergeCell ref="D100:D102"/>
    <mergeCell ref="E100:E102"/>
    <mergeCell ref="G100:G102"/>
    <mergeCell ref="H100:H102"/>
    <mergeCell ref="G93:G97"/>
    <mergeCell ref="K98:K99"/>
    <mergeCell ref="K100:K102"/>
    <mergeCell ref="H103:H105"/>
    <mergeCell ref="K103:K105"/>
    <mergeCell ref="H106:H108"/>
    <mergeCell ref="K106:K108"/>
    <mergeCell ref="H109:H111"/>
    <mergeCell ref="K109:K111"/>
    <mergeCell ref="B106:B108"/>
    <mergeCell ref="D106:D108"/>
    <mergeCell ref="B109:B111"/>
    <mergeCell ref="D109:D111"/>
    <mergeCell ref="E109:E111"/>
    <mergeCell ref="G109:G111"/>
    <mergeCell ref="E106:E108"/>
    <mergeCell ref="G106:G108"/>
    <mergeCell ref="B98:B99"/>
    <mergeCell ref="D98:D99"/>
    <mergeCell ref="E98:E99"/>
    <mergeCell ref="G98:G99"/>
    <mergeCell ref="H98:H99"/>
  </mergeCells>
  <phoneticPr fontId="2" type="noConversion"/>
  <pageMargins left="0.94488188976377963" right="0.35433070866141736" top="0.98425196850393704" bottom="0.39370078740157483" header="0.51181102362204722" footer="0.51181102362204722"/>
  <pageSetup paperSize="9" orientation="portrait" horizontalDpi="4294967293" verticalDpi="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51"/>
  <sheetViews>
    <sheetView tabSelected="1" topLeftCell="A28" workbookViewId="0">
      <pane xSplit="2" topLeftCell="C1" activePane="topRight" state="frozen"/>
      <selection pane="topRight"/>
    </sheetView>
  </sheetViews>
  <sheetFormatPr defaultColWidth="0" defaultRowHeight="14.1" customHeight="1" zeroHeight="1"/>
  <cols>
    <col min="1" max="1" width="13.21875" style="728" customWidth="1"/>
    <col min="2" max="2" width="4.33203125" style="661" customWidth="1"/>
    <col min="3" max="6" width="5.21875" style="661" customWidth="1"/>
    <col min="7" max="7" width="5.21875" style="628" customWidth="1"/>
    <col min="8" max="8" width="6.5546875" style="661" customWidth="1"/>
    <col min="9" max="11" width="4.5546875" style="661" customWidth="1"/>
    <col min="12" max="12" width="6.21875" style="729" customWidth="1"/>
    <col min="13" max="13" width="6.21875" style="661" customWidth="1"/>
    <col min="14" max="14" width="5.6640625" style="730" customWidth="1"/>
    <col min="15" max="15" width="5.6640625" style="661" customWidth="1"/>
    <col min="16" max="16" width="13.21875" style="728" customWidth="1"/>
    <col min="17" max="17" width="4.33203125" style="661" customWidth="1"/>
    <col min="18" max="18" width="6.109375" style="661" customWidth="1"/>
    <col min="19" max="19" width="4.5546875" style="661" customWidth="1"/>
    <col min="20" max="20" width="5.21875" style="661" customWidth="1"/>
    <col min="21" max="21" width="4.33203125" style="661" customWidth="1"/>
    <col min="22" max="22" width="5.44140625" style="661" customWidth="1"/>
    <col min="23" max="23" width="5.21875" style="661" customWidth="1"/>
    <col min="24" max="25" width="5.44140625" style="661" customWidth="1"/>
    <col min="26" max="26" width="4.44140625" style="730" customWidth="1"/>
    <col min="27" max="27" width="5.109375" style="661" customWidth="1"/>
    <col min="28" max="29" width="5.5546875" style="731" customWidth="1"/>
    <col min="30" max="35" width="2.88671875" style="731" customWidth="1"/>
    <col min="36" max="36" width="2.6640625" style="661" customWidth="1"/>
    <col min="37" max="256" width="9.6640625" style="661" hidden="1"/>
    <col min="257" max="257" width="13.21875" style="661" customWidth="1"/>
    <col min="258" max="258" width="4.33203125" style="661" customWidth="1"/>
    <col min="259" max="263" width="5.21875" style="661" customWidth="1"/>
    <col min="264" max="264" width="6.5546875" style="661" customWidth="1"/>
    <col min="265" max="267" width="4.5546875" style="661" customWidth="1"/>
    <col min="268" max="269" width="6.21875" style="661" customWidth="1"/>
    <col min="270" max="271" width="5.6640625" style="661" customWidth="1"/>
    <col min="272" max="272" width="13.21875" style="661" customWidth="1"/>
    <col min="273" max="273" width="4.33203125" style="661" customWidth="1"/>
    <col min="274" max="274" width="6.109375" style="661" customWidth="1"/>
    <col min="275" max="275" width="4.5546875" style="661" customWidth="1"/>
    <col min="276" max="276" width="5.21875" style="661" customWidth="1"/>
    <col min="277" max="277" width="4.33203125" style="661" customWidth="1"/>
    <col min="278" max="278" width="5.44140625" style="661" customWidth="1"/>
    <col min="279" max="279" width="5.21875" style="661" customWidth="1"/>
    <col min="280" max="281" width="5.44140625" style="661" customWidth="1"/>
    <col min="282" max="282" width="4.44140625" style="661" customWidth="1"/>
    <col min="283" max="283" width="5.109375" style="661" customWidth="1"/>
    <col min="284" max="285" width="5.5546875" style="661" customWidth="1"/>
    <col min="286" max="291" width="2.88671875" style="661" customWidth="1"/>
    <col min="292" max="292" width="2.6640625" style="661" customWidth="1"/>
    <col min="293" max="512" width="9.6640625" style="661" hidden="1"/>
    <col min="513" max="513" width="13.21875" style="661" customWidth="1"/>
    <col min="514" max="514" width="4.33203125" style="661" customWidth="1"/>
    <col min="515" max="519" width="5.21875" style="661" customWidth="1"/>
    <col min="520" max="520" width="6.5546875" style="661" customWidth="1"/>
    <col min="521" max="523" width="4.5546875" style="661" customWidth="1"/>
    <col min="524" max="525" width="6.21875" style="661" customWidth="1"/>
    <col min="526" max="527" width="5.6640625" style="661" customWidth="1"/>
    <col min="528" max="528" width="13.21875" style="661" customWidth="1"/>
    <col min="529" max="529" width="4.33203125" style="661" customWidth="1"/>
    <col min="530" max="530" width="6.109375" style="661" customWidth="1"/>
    <col min="531" max="531" width="4.5546875" style="661" customWidth="1"/>
    <col min="532" max="532" width="5.21875" style="661" customWidth="1"/>
    <col min="533" max="533" width="4.33203125" style="661" customWidth="1"/>
    <col min="534" max="534" width="5.44140625" style="661" customWidth="1"/>
    <col min="535" max="535" width="5.21875" style="661" customWidth="1"/>
    <col min="536" max="537" width="5.44140625" style="661" customWidth="1"/>
    <col min="538" max="538" width="4.44140625" style="661" customWidth="1"/>
    <col min="539" max="539" width="5.109375" style="661" customWidth="1"/>
    <col min="540" max="541" width="5.5546875" style="661" customWidth="1"/>
    <col min="542" max="547" width="2.88671875" style="661" customWidth="1"/>
    <col min="548" max="548" width="2.6640625" style="661" customWidth="1"/>
    <col min="549" max="768" width="9.6640625" style="661" hidden="1"/>
    <col min="769" max="769" width="13.21875" style="661" customWidth="1"/>
    <col min="770" max="770" width="4.33203125" style="661" customWidth="1"/>
    <col min="771" max="775" width="5.21875" style="661" customWidth="1"/>
    <col min="776" max="776" width="6.5546875" style="661" customWidth="1"/>
    <col min="777" max="779" width="4.5546875" style="661" customWidth="1"/>
    <col min="780" max="781" width="6.21875" style="661" customWidth="1"/>
    <col min="782" max="783" width="5.6640625" style="661" customWidth="1"/>
    <col min="784" max="784" width="13.21875" style="661" customWidth="1"/>
    <col min="785" max="785" width="4.33203125" style="661" customWidth="1"/>
    <col min="786" max="786" width="6.109375" style="661" customWidth="1"/>
    <col min="787" max="787" width="4.5546875" style="661" customWidth="1"/>
    <col min="788" max="788" width="5.21875" style="661" customWidth="1"/>
    <col min="789" max="789" width="4.33203125" style="661" customWidth="1"/>
    <col min="790" max="790" width="5.44140625" style="661" customWidth="1"/>
    <col min="791" max="791" width="5.21875" style="661" customWidth="1"/>
    <col min="792" max="793" width="5.44140625" style="661" customWidth="1"/>
    <col min="794" max="794" width="4.44140625" style="661" customWidth="1"/>
    <col min="795" max="795" width="5.109375" style="661" customWidth="1"/>
    <col min="796" max="797" width="5.5546875" style="661" customWidth="1"/>
    <col min="798" max="803" width="2.88671875" style="661" customWidth="1"/>
    <col min="804" max="804" width="2.6640625" style="661" customWidth="1"/>
    <col min="805" max="1024" width="9.6640625" style="661" hidden="1"/>
    <col min="1025" max="1025" width="13.21875" style="661" customWidth="1"/>
    <col min="1026" max="1026" width="4.33203125" style="661" customWidth="1"/>
    <col min="1027" max="1031" width="5.21875" style="661" customWidth="1"/>
    <col min="1032" max="1032" width="6.5546875" style="661" customWidth="1"/>
    <col min="1033" max="1035" width="4.5546875" style="661" customWidth="1"/>
    <col min="1036" max="1037" width="6.21875" style="661" customWidth="1"/>
    <col min="1038" max="1039" width="5.6640625" style="661" customWidth="1"/>
    <col min="1040" max="1040" width="13.21875" style="661" customWidth="1"/>
    <col min="1041" max="1041" width="4.33203125" style="661" customWidth="1"/>
    <col min="1042" max="1042" width="6.109375" style="661" customWidth="1"/>
    <col min="1043" max="1043" width="4.5546875" style="661" customWidth="1"/>
    <col min="1044" max="1044" width="5.21875" style="661" customWidth="1"/>
    <col min="1045" max="1045" width="4.33203125" style="661" customWidth="1"/>
    <col min="1046" max="1046" width="5.44140625" style="661" customWidth="1"/>
    <col min="1047" max="1047" width="5.21875" style="661" customWidth="1"/>
    <col min="1048" max="1049" width="5.44140625" style="661" customWidth="1"/>
    <col min="1050" max="1050" width="4.44140625" style="661" customWidth="1"/>
    <col min="1051" max="1051" width="5.109375" style="661" customWidth="1"/>
    <col min="1052" max="1053" width="5.5546875" style="661" customWidth="1"/>
    <col min="1054" max="1059" width="2.88671875" style="661" customWidth="1"/>
    <col min="1060" max="1060" width="2.6640625" style="661" customWidth="1"/>
    <col min="1061" max="1280" width="9.6640625" style="661" hidden="1"/>
    <col min="1281" max="1281" width="13.21875" style="661" customWidth="1"/>
    <col min="1282" max="1282" width="4.33203125" style="661" customWidth="1"/>
    <col min="1283" max="1287" width="5.21875" style="661" customWidth="1"/>
    <col min="1288" max="1288" width="6.5546875" style="661" customWidth="1"/>
    <col min="1289" max="1291" width="4.5546875" style="661" customWidth="1"/>
    <col min="1292" max="1293" width="6.21875" style="661" customWidth="1"/>
    <col min="1294" max="1295" width="5.6640625" style="661" customWidth="1"/>
    <col min="1296" max="1296" width="13.21875" style="661" customWidth="1"/>
    <col min="1297" max="1297" width="4.33203125" style="661" customWidth="1"/>
    <col min="1298" max="1298" width="6.109375" style="661" customWidth="1"/>
    <col min="1299" max="1299" width="4.5546875" style="661" customWidth="1"/>
    <col min="1300" max="1300" width="5.21875" style="661" customWidth="1"/>
    <col min="1301" max="1301" width="4.33203125" style="661" customWidth="1"/>
    <col min="1302" max="1302" width="5.44140625" style="661" customWidth="1"/>
    <col min="1303" max="1303" width="5.21875" style="661" customWidth="1"/>
    <col min="1304" max="1305" width="5.44140625" style="661" customWidth="1"/>
    <col min="1306" max="1306" width="4.44140625" style="661" customWidth="1"/>
    <col min="1307" max="1307" width="5.109375" style="661" customWidth="1"/>
    <col min="1308" max="1309" width="5.5546875" style="661" customWidth="1"/>
    <col min="1310" max="1315" width="2.88671875" style="661" customWidth="1"/>
    <col min="1316" max="1316" width="2.6640625" style="661" customWidth="1"/>
    <col min="1317" max="1536" width="9.6640625" style="661" hidden="1"/>
    <col min="1537" max="1537" width="13.21875" style="661" customWidth="1"/>
    <col min="1538" max="1538" width="4.33203125" style="661" customWidth="1"/>
    <col min="1539" max="1543" width="5.21875" style="661" customWidth="1"/>
    <col min="1544" max="1544" width="6.5546875" style="661" customWidth="1"/>
    <col min="1545" max="1547" width="4.5546875" style="661" customWidth="1"/>
    <col min="1548" max="1549" width="6.21875" style="661" customWidth="1"/>
    <col min="1550" max="1551" width="5.6640625" style="661" customWidth="1"/>
    <col min="1552" max="1552" width="13.21875" style="661" customWidth="1"/>
    <col min="1553" max="1553" width="4.33203125" style="661" customWidth="1"/>
    <col min="1554" max="1554" width="6.109375" style="661" customWidth="1"/>
    <col min="1555" max="1555" width="4.5546875" style="661" customWidth="1"/>
    <col min="1556" max="1556" width="5.21875" style="661" customWidth="1"/>
    <col min="1557" max="1557" width="4.33203125" style="661" customWidth="1"/>
    <col min="1558" max="1558" width="5.44140625" style="661" customWidth="1"/>
    <col min="1559" max="1559" width="5.21875" style="661" customWidth="1"/>
    <col min="1560" max="1561" width="5.44140625" style="661" customWidth="1"/>
    <col min="1562" max="1562" width="4.44140625" style="661" customWidth="1"/>
    <col min="1563" max="1563" width="5.109375" style="661" customWidth="1"/>
    <col min="1564" max="1565" width="5.5546875" style="661" customWidth="1"/>
    <col min="1566" max="1571" width="2.88671875" style="661" customWidth="1"/>
    <col min="1572" max="1572" width="2.6640625" style="661" customWidth="1"/>
    <col min="1573" max="1792" width="9.6640625" style="661" hidden="1"/>
    <col min="1793" max="1793" width="13.21875" style="661" customWidth="1"/>
    <col min="1794" max="1794" width="4.33203125" style="661" customWidth="1"/>
    <col min="1795" max="1799" width="5.21875" style="661" customWidth="1"/>
    <col min="1800" max="1800" width="6.5546875" style="661" customWidth="1"/>
    <col min="1801" max="1803" width="4.5546875" style="661" customWidth="1"/>
    <col min="1804" max="1805" width="6.21875" style="661" customWidth="1"/>
    <col min="1806" max="1807" width="5.6640625" style="661" customWidth="1"/>
    <col min="1808" max="1808" width="13.21875" style="661" customWidth="1"/>
    <col min="1809" max="1809" width="4.33203125" style="661" customWidth="1"/>
    <col min="1810" max="1810" width="6.109375" style="661" customWidth="1"/>
    <col min="1811" max="1811" width="4.5546875" style="661" customWidth="1"/>
    <col min="1812" max="1812" width="5.21875" style="661" customWidth="1"/>
    <col min="1813" max="1813" width="4.33203125" style="661" customWidth="1"/>
    <col min="1814" max="1814" width="5.44140625" style="661" customWidth="1"/>
    <col min="1815" max="1815" width="5.21875" style="661" customWidth="1"/>
    <col min="1816" max="1817" width="5.44140625" style="661" customWidth="1"/>
    <col min="1818" max="1818" width="4.44140625" style="661" customWidth="1"/>
    <col min="1819" max="1819" width="5.109375" style="661" customWidth="1"/>
    <col min="1820" max="1821" width="5.5546875" style="661" customWidth="1"/>
    <col min="1822" max="1827" width="2.88671875" style="661" customWidth="1"/>
    <col min="1828" max="1828" width="2.6640625" style="661" customWidth="1"/>
    <col min="1829" max="2048" width="9.6640625" style="661" hidden="1"/>
    <col min="2049" max="2049" width="13.21875" style="661" customWidth="1"/>
    <col min="2050" max="2050" width="4.33203125" style="661" customWidth="1"/>
    <col min="2051" max="2055" width="5.21875" style="661" customWidth="1"/>
    <col min="2056" max="2056" width="6.5546875" style="661" customWidth="1"/>
    <col min="2057" max="2059" width="4.5546875" style="661" customWidth="1"/>
    <col min="2060" max="2061" width="6.21875" style="661" customWidth="1"/>
    <col min="2062" max="2063" width="5.6640625" style="661" customWidth="1"/>
    <col min="2064" max="2064" width="13.21875" style="661" customWidth="1"/>
    <col min="2065" max="2065" width="4.33203125" style="661" customWidth="1"/>
    <col min="2066" max="2066" width="6.109375" style="661" customWidth="1"/>
    <col min="2067" max="2067" width="4.5546875" style="661" customWidth="1"/>
    <col min="2068" max="2068" width="5.21875" style="661" customWidth="1"/>
    <col min="2069" max="2069" width="4.33203125" style="661" customWidth="1"/>
    <col min="2070" max="2070" width="5.44140625" style="661" customWidth="1"/>
    <col min="2071" max="2071" width="5.21875" style="661" customWidth="1"/>
    <col min="2072" max="2073" width="5.44140625" style="661" customWidth="1"/>
    <col min="2074" max="2074" width="4.44140625" style="661" customWidth="1"/>
    <col min="2075" max="2075" width="5.109375" style="661" customWidth="1"/>
    <col min="2076" max="2077" width="5.5546875" style="661" customWidth="1"/>
    <col min="2078" max="2083" width="2.88671875" style="661" customWidth="1"/>
    <col min="2084" max="2084" width="2.6640625" style="661" customWidth="1"/>
    <col min="2085" max="2304" width="9.6640625" style="661" hidden="1"/>
    <col min="2305" max="2305" width="13.21875" style="661" customWidth="1"/>
    <col min="2306" max="2306" width="4.33203125" style="661" customWidth="1"/>
    <col min="2307" max="2311" width="5.21875" style="661" customWidth="1"/>
    <col min="2312" max="2312" width="6.5546875" style="661" customWidth="1"/>
    <col min="2313" max="2315" width="4.5546875" style="661" customWidth="1"/>
    <col min="2316" max="2317" width="6.21875" style="661" customWidth="1"/>
    <col min="2318" max="2319" width="5.6640625" style="661" customWidth="1"/>
    <col min="2320" max="2320" width="13.21875" style="661" customWidth="1"/>
    <col min="2321" max="2321" width="4.33203125" style="661" customWidth="1"/>
    <col min="2322" max="2322" width="6.109375" style="661" customWidth="1"/>
    <col min="2323" max="2323" width="4.5546875" style="661" customWidth="1"/>
    <col min="2324" max="2324" width="5.21875" style="661" customWidth="1"/>
    <col min="2325" max="2325" width="4.33203125" style="661" customWidth="1"/>
    <col min="2326" max="2326" width="5.44140625" style="661" customWidth="1"/>
    <col min="2327" max="2327" width="5.21875" style="661" customWidth="1"/>
    <col min="2328" max="2329" width="5.44140625" style="661" customWidth="1"/>
    <col min="2330" max="2330" width="4.44140625" style="661" customWidth="1"/>
    <col min="2331" max="2331" width="5.109375" style="661" customWidth="1"/>
    <col min="2332" max="2333" width="5.5546875" style="661" customWidth="1"/>
    <col min="2334" max="2339" width="2.88671875" style="661" customWidth="1"/>
    <col min="2340" max="2340" width="2.6640625" style="661" customWidth="1"/>
    <col min="2341" max="2560" width="9.6640625" style="661" hidden="1"/>
    <col min="2561" max="2561" width="13.21875" style="661" customWidth="1"/>
    <col min="2562" max="2562" width="4.33203125" style="661" customWidth="1"/>
    <col min="2563" max="2567" width="5.21875" style="661" customWidth="1"/>
    <col min="2568" max="2568" width="6.5546875" style="661" customWidth="1"/>
    <col min="2569" max="2571" width="4.5546875" style="661" customWidth="1"/>
    <col min="2572" max="2573" width="6.21875" style="661" customWidth="1"/>
    <col min="2574" max="2575" width="5.6640625" style="661" customWidth="1"/>
    <col min="2576" max="2576" width="13.21875" style="661" customWidth="1"/>
    <col min="2577" max="2577" width="4.33203125" style="661" customWidth="1"/>
    <col min="2578" max="2578" width="6.109375" style="661" customWidth="1"/>
    <col min="2579" max="2579" width="4.5546875" style="661" customWidth="1"/>
    <col min="2580" max="2580" width="5.21875" style="661" customWidth="1"/>
    <col min="2581" max="2581" width="4.33203125" style="661" customWidth="1"/>
    <col min="2582" max="2582" width="5.44140625" style="661" customWidth="1"/>
    <col min="2583" max="2583" width="5.21875" style="661" customWidth="1"/>
    <col min="2584" max="2585" width="5.44140625" style="661" customWidth="1"/>
    <col min="2586" max="2586" width="4.44140625" style="661" customWidth="1"/>
    <col min="2587" max="2587" width="5.109375" style="661" customWidth="1"/>
    <col min="2588" max="2589" width="5.5546875" style="661" customWidth="1"/>
    <col min="2590" max="2595" width="2.88671875" style="661" customWidth="1"/>
    <col min="2596" max="2596" width="2.6640625" style="661" customWidth="1"/>
    <col min="2597" max="2816" width="9.6640625" style="661" hidden="1"/>
    <col min="2817" max="2817" width="13.21875" style="661" customWidth="1"/>
    <col min="2818" max="2818" width="4.33203125" style="661" customWidth="1"/>
    <col min="2819" max="2823" width="5.21875" style="661" customWidth="1"/>
    <col min="2824" max="2824" width="6.5546875" style="661" customWidth="1"/>
    <col min="2825" max="2827" width="4.5546875" style="661" customWidth="1"/>
    <col min="2828" max="2829" width="6.21875" style="661" customWidth="1"/>
    <col min="2830" max="2831" width="5.6640625" style="661" customWidth="1"/>
    <col min="2832" max="2832" width="13.21875" style="661" customWidth="1"/>
    <col min="2833" max="2833" width="4.33203125" style="661" customWidth="1"/>
    <col min="2834" max="2834" width="6.109375" style="661" customWidth="1"/>
    <col min="2835" max="2835" width="4.5546875" style="661" customWidth="1"/>
    <col min="2836" max="2836" width="5.21875" style="661" customWidth="1"/>
    <col min="2837" max="2837" width="4.33203125" style="661" customWidth="1"/>
    <col min="2838" max="2838" width="5.44140625" style="661" customWidth="1"/>
    <col min="2839" max="2839" width="5.21875" style="661" customWidth="1"/>
    <col min="2840" max="2841" width="5.44140625" style="661" customWidth="1"/>
    <col min="2842" max="2842" width="4.44140625" style="661" customWidth="1"/>
    <col min="2843" max="2843" width="5.109375" style="661" customWidth="1"/>
    <col min="2844" max="2845" width="5.5546875" style="661" customWidth="1"/>
    <col min="2846" max="2851" width="2.88671875" style="661" customWidth="1"/>
    <col min="2852" max="2852" width="2.6640625" style="661" customWidth="1"/>
    <col min="2853" max="3072" width="9.6640625" style="661" hidden="1"/>
    <col min="3073" max="3073" width="13.21875" style="661" customWidth="1"/>
    <col min="3074" max="3074" width="4.33203125" style="661" customWidth="1"/>
    <col min="3075" max="3079" width="5.21875" style="661" customWidth="1"/>
    <col min="3080" max="3080" width="6.5546875" style="661" customWidth="1"/>
    <col min="3081" max="3083" width="4.5546875" style="661" customWidth="1"/>
    <col min="3084" max="3085" width="6.21875" style="661" customWidth="1"/>
    <col min="3086" max="3087" width="5.6640625" style="661" customWidth="1"/>
    <col min="3088" max="3088" width="13.21875" style="661" customWidth="1"/>
    <col min="3089" max="3089" width="4.33203125" style="661" customWidth="1"/>
    <col min="3090" max="3090" width="6.109375" style="661" customWidth="1"/>
    <col min="3091" max="3091" width="4.5546875" style="661" customWidth="1"/>
    <col min="3092" max="3092" width="5.21875" style="661" customWidth="1"/>
    <col min="3093" max="3093" width="4.33203125" style="661" customWidth="1"/>
    <col min="3094" max="3094" width="5.44140625" style="661" customWidth="1"/>
    <col min="3095" max="3095" width="5.21875" style="661" customWidth="1"/>
    <col min="3096" max="3097" width="5.44140625" style="661" customWidth="1"/>
    <col min="3098" max="3098" width="4.44140625" style="661" customWidth="1"/>
    <col min="3099" max="3099" width="5.109375" style="661" customWidth="1"/>
    <col min="3100" max="3101" width="5.5546875" style="661" customWidth="1"/>
    <col min="3102" max="3107" width="2.88671875" style="661" customWidth="1"/>
    <col min="3108" max="3108" width="2.6640625" style="661" customWidth="1"/>
    <col min="3109" max="3328" width="9.6640625" style="661" hidden="1"/>
    <col min="3329" max="3329" width="13.21875" style="661" customWidth="1"/>
    <col min="3330" max="3330" width="4.33203125" style="661" customWidth="1"/>
    <col min="3331" max="3335" width="5.21875" style="661" customWidth="1"/>
    <col min="3336" max="3336" width="6.5546875" style="661" customWidth="1"/>
    <col min="3337" max="3339" width="4.5546875" style="661" customWidth="1"/>
    <col min="3340" max="3341" width="6.21875" style="661" customWidth="1"/>
    <col min="3342" max="3343" width="5.6640625" style="661" customWidth="1"/>
    <col min="3344" max="3344" width="13.21875" style="661" customWidth="1"/>
    <col min="3345" max="3345" width="4.33203125" style="661" customWidth="1"/>
    <col min="3346" max="3346" width="6.109375" style="661" customWidth="1"/>
    <col min="3347" max="3347" width="4.5546875" style="661" customWidth="1"/>
    <col min="3348" max="3348" width="5.21875" style="661" customWidth="1"/>
    <col min="3349" max="3349" width="4.33203125" style="661" customWidth="1"/>
    <col min="3350" max="3350" width="5.44140625" style="661" customWidth="1"/>
    <col min="3351" max="3351" width="5.21875" style="661" customWidth="1"/>
    <col min="3352" max="3353" width="5.44140625" style="661" customWidth="1"/>
    <col min="3354" max="3354" width="4.44140625" style="661" customWidth="1"/>
    <col min="3355" max="3355" width="5.109375" style="661" customWidth="1"/>
    <col min="3356" max="3357" width="5.5546875" style="661" customWidth="1"/>
    <col min="3358" max="3363" width="2.88671875" style="661" customWidth="1"/>
    <col min="3364" max="3364" width="2.6640625" style="661" customWidth="1"/>
    <col min="3365" max="3584" width="9.6640625" style="661" hidden="1"/>
    <col min="3585" max="3585" width="13.21875" style="661" customWidth="1"/>
    <col min="3586" max="3586" width="4.33203125" style="661" customWidth="1"/>
    <col min="3587" max="3591" width="5.21875" style="661" customWidth="1"/>
    <col min="3592" max="3592" width="6.5546875" style="661" customWidth="1"/>
    <col min="3593" max="3595" width="4.5546875" style="661" customWidth="1"/>
    <col min="3596" max="3597" width="6.21875" style="661" customWidth="1"/>
    <col min="3598" max="3599" width="5.6640625" style="661" customWidth="1"/>
    <col min="3600" max="3600" width="13.21875" style="661" customWidth="1"/>
    <col min="3601" max="3601" width="4.33203125" style="661" customWidth="1"/>
    <col min="3602" max="3602" width="6.109375" style="661" customWidth="1"/>
    <col min="3603" max="3603" width="4.5546875" style="661" customWidth="1"/>
    <col min="3604" max="3604" width="5.21875" style="661" customWidth="1"/>
    <col min="3605" max="3605" width="4.33203125" style="661" customWidth="1"/>
    <col min="3606" max="3606" width="5.44140625" style="661" customWidth="1"/>
    <col min="3607" max="3607" width="5.21875" style="661" customWidth="1"/>
    <col min="3608" max="3609" width="5.44140625" style="661" customWidth="1"/>
    <col min="3610" max="3610" width="4.44140625" style="661" customWidth="1"/>
    <col min="3611" max="3611" width="5.109375" style="661" customWidth="1"/>
    <col min="3612" max="3613" width="5.5546875" style="661" customWidth="1"/>
    <col min="3614" max="3619" width="2.88671875" style="661" customWidth="1"/>
    <col min="3620" max="3620" width="2.6640625" style="661" customWidth="1"/>
    <col min="3621" max="3840" width="9.6640625" style="661" hidden="1"/>
    <col min="3841" max="3841" width="13.21875" style="661" customWidth="1"/>
    <col min="3842" max="3842" width="4.33203125" style="661" customWidth="1"/>
    <col min="3843" max="3847" width="5.21875" style="661" customWidth="1"/>
    <col min="3848" max="3848" width="6.5546875" style="661" customWidth="1"/>
    <col min="3849" max="3851" width="4.5546875" style="661" customWidth="1"/>
    <col min="3852" max="3853" width="6.21875" style="661" customWidth="1"/>
    <col min="3854" max="3855" width="5.6640625" style="661" customWidth="1"/>
    <col min="3856" max="3856" width="13.21875" style="661" customWidth="1"/>
    <col min="3857" max="3857" width="4.33203125" style="661" customWidth="1"/>
    <col min="3858" max="3858" width="6.109375" style="661" customWidth="1"/>
    <col min="3859" max="3859" width="4.5546875" style="661" customWidth="1"/>
    <col min="3860" max="3860" width="5.21875" style="661" customWidth="1"/>
    <col min="3861" max="3861" width="4.33203125" style="661" customWidth="1"/>
    <col min="3862" max="3862" width="5.44140625" style="661" customWidth="1"/>
    <col min="3863" max="3863" width="5.21875" style="661" customWidth="1"/>
    <col min="3864" max="3865" width="5.44140625" style="661" customWidth="1"/>
    <col min="3866" max="3866" width="4.44140625" style="661" customWidth="1"/>
    <col min="3867" max="3867" width="5.109375" style="661" customWidth="1"/>
    <col min="3868" max="3869" width="5.5546875" style="661" customWidth="1"/>
    <col min="3870" max="3875" width="2.88671875" style="661" customWidth="1"/>
    <col min="3876" max="3876" width="2.6640625" style="661" customWidth="1"/>
    <col min="3877" max="4096" width="9.6640625" style="661" hidden="1"/>
    <col min="4097" max="4097" width="13.21875" style="661" customWidth="1"/>
    <col min="4098" max="4098" width="4.33203125" style="661" customWidth="1"/>
    <col min="4099" max="4103" width="5.21875" style="661" customWidth="1"/>
    <col min="4104" max="4104" width="6.5546875" style="661" customWidth="1"/>
    <col min="4105" max="4107" width="4.5546875" style="661" customWidth="1"/>
    <col min="4108" max="4109" width="6.21875" style="661" customWidth="1"/>
    <col min="4110" max="4111" width="5.6640625" style="661" customWidth="1"/>
    <col min="4112" max="4112" width="13.21875" style="661" customWidth="1"/>
    <col min="4113" max="4113" width="4.33203125" style="661" customWidth="1"/>
    <col min="4114" max="4114" width="6.109375" style="661" customWidth="1"/>
    <col min="4115" max="4115" width="4.5546875" style="661" customWidth="1"/>
    <col min="4116" max="4116" width="5.21875" style="661" customWidth="1"/>
    <col min="4117" max="4117" width="4.33203125" style="661" customWidth="1"/>
    <col min="4118" max="4118" width="5.44140625" style="661" customWidth="1"/>
    <col min="4119" max="4119" width="5.21875" style="661" customWidth="1"/>
    <col min="4120" max="4121" width="5.44140625" style="661" customWidth="1"/>
    <col min="4122" max="4122" width="4.44140625" style="661" customWidth="1"/>
    <col min="4123" max="4123" width="5.109375" style="661" customWidth="1"/>
    <col min="4124" max="4125" width="5.5546875" style="661" customWidth="1"/>
    <col min="4126" max="4131" width="2.88671875" style="661" customWidth="1"/>
    <col min="4132" max="4132" width="2.6640625" style="661" customWidth="1"/>
    <col min="4133" max="4352" width="9.6640625" style="661" hidden="1"/>
    <col min="4353" max="4353" width="13.21875" style="661" customWidth="1"/>
    <col min="4354" max="4354" width="4.33203125" style="661" customWidth="1"/>
    <col min="4355" max="4359" width="5.21875" style="661" customWidth="1"/>
    <col min="4360" max="4360" width="6.5546875" style="661" customWidth="1"/>
    <col min="4361" max="4363" width="4.5546875" style="661" customWidth="1"/>
    <col min="4364" max="4365" width="6.21875" style="661" customWidth="1"/>
    <col min="4366" max="4367" width="5.6640625" style="661" customWidth="1"/>
    <col min="4368" max="4368" width="13.21875" style="661" customWidth="1"/>
    <col min="4369" max="4369" width="4.33203125" style="661" customWidth="1"/>
    <col min="4370" max="4370" width="6.109375" style="661" customWidth="1"/>
    <col min="4371" max="4371" width="4.5546875" style="661" customWidth="1"/>
    <col min="4372" max="4372" width="5.21875" style="661" customWidth="1"/>
    <col min="4373" max="4373" width="4.33203125" style="661" customWidth="1"/>
    <col min="4374" max="4374" width="5.44140625" style="661" customWidth="1"/>
    <col min="4375" max="4375" width="5.21875" style="661" customWidth="1"/>
    <col min="4376" max="4377" width="5.44140625" style="661" customWidth="1"/>
    <col min="4378" max="4378" width="4.44140625" style="661" customWidth="1"/>
    <col min="4379" max="4379" width="5.109375" style="661" customWidth="1"/>
    <col min="4380" max="4381" width="5.5546875" style="661" customWidth="1"/>
    <col min="4382" max="4387" width="2.88671875" style="661" customWidth="1"/>
    <col min="4388" max="4388" width="2.6640625" style="661" customWidth="1"/>
    <col min="4389" max="4608" width="9.6640625" style="661" hidden="1"/>
    <col min="4609" max="4609" width="13.21875" style="661" customWidth="1"/>
    <col min="4610" max="4610" width="4.33203125" style="661" customWidth="1"/>
    <col min="4611" max="4615" width="5.21875" style="661" customWidth="1"/>
    <col min="4616" max="4616" width="6.5546875" style="661" customWidth="1"/>
    <col min="4617" max="4619" width="4.5546875" style="661" customWidth="1"/>
    <col min="4620" max="4621" width="6.21875" style="661" customWidth="1"/>
    <col min="4622" max="4623" width="5.6640625" style="661" customWidth="1"/>
    <col min="4624" max="4624" width="13.21875" style="661" customWidth="1"/>
    <col min="4625" max="4625" width="4.33203125" style="661" customWidth="1"/>
    <col min="4626" max="4626" width="6.109375" style="661" customWidth="1"/>
    <col min="4627" max="4627" width="4.5546875" style="661" customWidth="1"/>
    <col min="4628" max="4628" width="5.21875" style="661" customWidth="1"/>
    <col min="4629" max="4629" width="4.33203125" style="661" customWidth="1"/>
    <col min="4630" max="4630" width="5.44140625" style="661" customWidth="1"/>
    <col min="4631" max="4631" width="5.21875" style="661" customWidth="1"/>
    <col min="4632" max="4633" width="5.44140625" style="661" customWidth="1"/>
    <col min="4634" max="4634" width="4.44140625" style="661" customWidth="1"/>
    <col min="4635" max="4635" width="5.109375" style="661" customWidth="1"/>
    <col min="4636" max="4637" width="5.5546875" style="661" customWidth="1"/>
    <col min="4638" max="4643" width="2.88671875" style="661" customWidth="1"/>
    <col min="4644" max="4644" width="2.6640625" style="661" customWidth="1"/>
    <col min="4645" max="4864" width="9.6640625" style="661" hidden="1"/>
    <col min="4865" max="4865" width="13.21875" style="661" customWidth="1"/>
    <col min="4866" max="4866" width="4.33203125" style="661" customWidth="1"/>
    <col min="4867" max="4871" width="5.21875" style="661" customWidth="1"/>
    <col min="4872" max="4872" width="6.5546875" style="661" customWidth="1"/>
    <col min="4873" max="4875" width="4.5546875" style="661" customWidth="1"/>
    <col min="4876" max="4877" width="6.21875" style="661" customWidth="1"/>
    <col min="4878" max="4879" width="5.6640625" style="661" customWidth="1"/>
    <col min="4880" max="4880" width="13.21875" style="661" customWidth="1"/>
    <col min="4881" max="4881" width="4.33203125" style="661" customWidth="1"/>
    <col min="4882" max="4882" width="6.109375" style="661" customWidth="1"/>
    <col min="4883" max="4883" width="4.5546875" style="661" customWidth="1"/>
    <col min="4884" max="4884" width="5.21875" style="661" customWidth="1"/>
    <col min="4885" max="4885" width="4.33203125" style="661" customWidth="1"/>
    <col min="4886" max="4886" width="5.44140625" style="661" customWidth="1"/>
    <col min="4887" max="4887" width="5.21875" style="661" customWidth="1"/>
    <col min="4888" max="4889" width="5.44140625" style="661" customWidth="1"/>
    <col min="4890" max="4890" width="4.44140625" style="661" customWidth="1"/>
    <col min="4891" max="4891" width="5.109375" style="661" customWidth="1"/>
    <col min="4892" max="4893" width="5.5546875" style="661" customWidth="1"/>
    <col min="4894" max="4899" width="2.88671875" style="661" customWidth="1"/>
    <col min="4900" max="4900" width="2.6640625" style="661" customWidth="1"/>
    <col min="4901" max="5120" width="9.6640625" style="661" hidden="1"/>
    <col min="5121" max="5121" width="13.21875" style="661" customWidth="1"/>
    <col min="5122" max="5122" width="4.33203125" style="661" customWidth="1"/>
    <col min="5123" max="5127" width="5.21875" style="661" customWidth="1"/>
    <col min="5128" max="5128" width="6.5546875" style="661" customWidth="1"/>
    <col min="5129" max="5131" width="4.5546875" style="661" customWidth="1"/>
    <col min="5132" max="5133" width="6.21875" style="661" customWidth="1"/>
    <col min="5134" max="5135" width="5.6640625" style="661" customWidth="1"/>
    <col min="5136" max="5136" width="13.21875" style="661" customWidth="1"/>
    <col min="5137" max="5137" width="4.33203125" style="661" customWidth="1"/>
    <col min="5138" max="5138" width="6.109375" style="661" customWidth="1"/>
    <col min="5139" max="5139" width="4.5546875" style="661" customWidth="1"/>
    <col min="5140" max="5140" width="5.21875" style="661" customWidth="1"/>
    <col min="5141" max="5141" width="4.33203125" style="661" customWidth="1"/>
    <col min="5142" max="5142" width="5.44140625" style="661" customWidth="1"/>
    <col min="5143" max="5143" width="5.21875" style="661" customWidth="1"/>
    <col min="5144" max="5145" width="5.44140625" style="661" customWidth="1"/>
    <col min="5146" max="5146" width="4.44140625" style="661" customWidth="1"/>
    <col min="5147" max="5147" width="5.109375" style="661" customWidth="1"/>
    <col min="5148" max="5149" width="5.5546875" style="661" customWidth="1"/>
    <col min="5150" max="5155" width="2.88671875" style="661" customWidth="1"/>
    <col min="5156" max="5156" width="2.6640625" style="661" customWidth="1"/>
    <col min="5157" max="5376" width="9.6640625" style="661" hidden="1"/>
    <col min="5377" max="5377" width="13.21875" style="661" customWidth="1"/>
    <col min="5378" max="5378" width="4.33203125" style="661" customWidth="1"/>
    <col min="5379" max="5383" width="5.21875" style="661" customWidth="1"/>
    <col min="5384" max="5384" width="6.5546875" style="661" customWidth="1"/>
    <col min="5385" max="5387" width="4.5546875" style="661" customWidth="1"/>
    <col min="5388" max="5389" width="6.21875" style="661" customWidth="1"/>
    <col min="5390" max="5391" width="5.6640625" style="661" customWidth="1"/>
    <col min="5392" max="5392" width="13.21875" style="661" customWidth="1"/>
    <col min="5393" max="5393" width="4.33203125" style="661" customWidth="1"/>
    <col min="5394" max="5394" width="6.109375" style="661" customWidth="1"/>
    <col min="5395" max="5395" width="4.5546875" style="661" customWidth="1"/>
    <col min="5396" max="5396" width="5.21875" style="661" customWidth="1"/>
    <col min="5397" max="5397" width="4.33203125" style="661" customWidth="1"/>
    <col min="5398" max="5398" width="5.44140625" style="661" customWidth="1"/>
    <col min="5399" max="5399" width="5.21875" style="661" customWidth="1"/>
    <col min="5400" max="5401" width="5.44140625" style="661" customWidth="1"/>
    <col min="5402" max="5402" width="4.44140625" style="661" customWidth="1"/>
    <col min="5403" max="5403" width="5.109375" style="661" customWidth="1"/>
    <col min="5404" max="5405" width="5.5546875" style="661" customWidth="1"/>
    <col min="5406" max="5411" width="2.88671875" style="661" customWidth="1"/>
    <col min="5412" max="5412" width="2.6640625" style="661" customWidth="1"/>
    <col min="5413" max="5632" width="9.6640625" style="661" hidden="1"/>
    <col min="5633" max="5633" width="13.21875" style="661" customWidth="1"/>
    <col min="5634" max="5634" width="4.33203125" style="661" customWidth="1"/>
    <col min="5635" max="5639" width="5.21875" style="661" customWidth="1"/>
    <col min="5640" max="5640" width="6.5546875" style="661" customWidth="1"/>
    <col min="5641" max="5643" width="4.5546875" style="661" customWidth="1"/>
    <col min="5644" max="5645" width="6.21875" style="661" customWidth="1"/>
    <col min="5646" max="5647" width="5.6640625" style="661" customWidth="1"/>
    <col min="5648" max="5648" width="13.21875" style="661" customWidth="1"/>
    <col min="5649" max="5649" width="4.33203125" style="661" customWidth="1"/>
    <col min="5650" max="5650" width="6.109375" style="661" customWidth="1"/>
    <col min="5651" max="5651" width="4.5546875" style="661" customWidth="1"/>
    <col min="5652" max="5652" width="5.21875" style="661" customWidth="1"/>
    <col min="5653" max="5653" width="4.33203125" style="661" customWidth="1"/>
    <col min="5654" max="5654" width="5.44140625" style="661" customWidth="1"/>
    <col min="5655" max="5655" width="5.21875" style="661" customWidth="1"/>
    <col min="5656" max="5657" width="5.44140625" style="661" customWidth="1"/>
    <col min="5658" max="5658" width="4.44140625" style="661" customWidth="1"/>
    <col min="5659" max="5659" width="5.109375" style="661" customWidth="1"/>
    <col min="5660" max="5661" width="5.5546875" style="661" customWidth="1"/>
    <col min="5662" max="5667" width="2.88671875" style="661" customWidth="1"/>
    <col min="5668" max="5668" width="2.6640625" style="661" customWidth="1"/>
    <col min="5669" max="5888" width="9.6640625" style="661" hidden="1"/>
    <col min="5889" max="5889" width="13.21875" style="661" customWidth="1"/>
    <col min="5890" max="5890" width="4.33203125" style="661" customWidth="1"/>
    <col min="5891" max="5895" width="5.21875" style="661" customWidth="1"/>
    <col min="5896" max="5896" width="6.5546875" style="661" customWidth="1"/>
    <col min="5897" max="5899" width="4.5546875" style="661" customWidth="1"/>
    <col min="5900" max="5901" width="6.21875" style="661" customWidth="1"/>
    <col min="5902" max="5903" width="5.6640625" style="661" customWidth="1"/>
    <col min="5904" max="5904" width="13.21875" style="661" customWidth="1"/>
    <col min="5905" max="5905" width="4.33203125" style="661" customWidth="1"/>
    <col min="5906" max="5906" width="6.109375" style="661" customWidth="1"/>
    <col min="5907" max="5907" width="4.5546875" style="661" customWidth="1"/>
    <col min="5908" max="5908" width="5.21875" style="661" customWidth="1"/>
    <col min="5909" max="5909" width="4.33203125" style="661" customWidth="1"/>
    <col min="5910" max="5910" width="5.44140625" style="661" customWidth="1"/>
    <col min="5911" max="5911" width="5.21875" style="661" customWidth="1"/>
    <col min="5912" max="5913" width="5.44140625" style="661" customWidth="1"/>
    <col min="5914" max="5914" width="4.44140625" style="661" customWidth="1"/>
    <col min="5915" max="5915" width="5.109375" style="661" customWidth="1"/>
    <col min="5916" max="5917" width="5.5546875" style="661" customWidth="1"/>
    <col min="5918" max="5923" width="2.88671875" style="661" customWidth="1"/>
    <col min="5924" max="5924" width="2.6640625" style="661" customWidth="1"/>
    <col min="5925" max="6144" width="9.6640625" style="661" hidden="1"/>
    <col min="6145" max="6145" width="13.21875" style="661" customWidth="1"/>
    <col min="6146" max="6146" width="4.33203125" style="661" customWidth="1"/>
    <col min="6147" max="6151" width="5.21875" style="661" customWidth="1"/>
    <col min="6152" max="6152" width="6.5546875" style="661" customWidth="1"/>
    <col min="6153" max="6155" width="4.5546875" style="661" customWidth="1"/>
    <col min="6156" max="6157" width="6.21875" style="661" customWidth="1"/>
    <col min="6158" max="6159" width="5.6640625" style="661" customWidth="1"/>
    <col min="6160" max="6160" width="13.21875" style="661" customWidth="1"/>
    <col min="6161" max="6161" width="4.33203125" style="661" customWidth="1"/>
    <col min="6162" max="6162" width="6.109375" style="661" customWidth="1"/>
    <col min="6163" max="6163" width="4.5546875" style="661" customWidth="1"/>
    <col min="6164" max="6164" width="5.21875" style="661" customWidth="1"/>
    <col min="6165" max="6165" width="4.33203125" style="661" customWidth="1"/>
    <col min="6166" max="6166" width="5.44140625" style="661" customWidth="1"/>
    <col min="6167" max="6167" width="5.21875" style="661" customWidth="1"/>
    <col min="6168" max="6169" width="5.44140625" style="661" customWidth="1"/>
    <col min="6170" max="6170" width="4.44140625" style="661" customWidth="1"/>
    <col min="6171" max="6171" width="5.109375" style="661" customWidth="1"/>
    <col min="6172" max="6173" width="5.5546875" style="661" customWidth="1"/>
    <col min="6174" max="6179" width="2.88671875" style="661" customWidth="1"/>
    <col min="6180" max="6180" width="2.6640625" style="661" customWidth="1"/>
    <col min="6181" max="6400" width="9.6640625" style="661" hidden="1"/>
    <col min="6401" max="6401" width="13.21875" style="661" customWidth="1"/>
    <col min="6402" max="6402" width="4.33203125" style="661" customWidth="1"/>
    <col min="6403" max="6407" width="5.21875" style="661" customWidth="1"/>
    <col min="6408" max="6408" width="6.5546875" style="661" customWidth="1"/>
    <col min="6409" max="6411" width="4.5546875" style="661" customWidth="1"/>
    <col min="6412" max="6413" width="6.21875" style="661" customWidth="1"/>
    <col min="6414" max="6415" width="5.6640625" style="661" customWidth="1"/>
    <col min="6416" max="6416" width="13.21875" style="661" customWidth="1"/>
    <col min="6417" max="6417" width="4.33203125" style="661" customWidth="1"/>
    <col min="6418" max="6418" width="6.109375" style="661" customWidth="1"/>
    <col min="6419" max="6419" width="4.5546875" style="661" customWidth="1"/>
    <col min="6420" max="6420" width="5.21875" style="661" customWidth="1"/>
    <col min="6421" max="6421" width="4.33203125" style="661" customWidth="1"/>
    <col min="6422" max="6422" width="5.44140625" style="661" customWidth="1"/>
    <col min="6423" max="6423" width="5.21875" style="661" customWidth="1"/>
    <col min="6424" max="6425" width="5.44140625" style="661" customWidth="1"/>
    <col min="6426" max="6426" width="4.44140625" style="661" customWidth="1"/>
    <col min="6427" max="6427" width="5.109375" style="661" customWidth="1"/>
    <col min="6428" max="6429" width="5.5546875" style="661" customWidth="1"/>
    <col min="6430" max="6435" width="2.88671875" style="661" customWidth="1"/>
    <col min="6436" max="6436" width="2.6640625" style="661" customWidth="1"/>
    <col min="6437" max="6656" width="9.6640625" style="661" hidden="1"/>
    <col min="6657" max="6657" width="13.21875" style="661" customWidth="1"/>
    <col min="6658" max="6658" width="4.33203125" style="661" customWidth="1"/>
    <col min="6659" max="6663" width="5.21875" style="661" customWidth="1"/>
    <col min="6664" max="6664" width="6.5546875" style="661" customWidth="1"/>
    <col min="6665" max="6667" width="4.5546875" style="661" customWidth="1"/>
    <col min="6668" max="6669" width="6.21875" style="661" customWidth="1"/>
    <col min="6670" max="6671" width="5.6640625" style="661" customWidth="1"/>
    <col min="6672" max="6672" width="13.21875" style="661" customWidth="1"/>
    <col min="6673" max="6673" width="4.33203125" style="661" customWidth="1"/>
    <col min="6674" max="6674" width="6.109375" style="661" customWidth="1"/>
    <col min="6675" max="6675" width="4.5546875" style="661" customWidth="1"/>
    <col min="6676" max="6676" width="5.21875" style="661" customWidth="1"/>
    <col min="6677" max="6677" width="4.33203125" style="661" customWidth="1"/>
    <col min="6678" max="6678" width="5.44140625" style="661" customWidth="1"/>
    <col min="6679" max="6679" width="5.21875" style="661" customWidth="1"/>
    <col min="6680" max="6681" width="5.44140625" style="661" customWidth="1"/>
    <col min="6682" max="6682" width="4.44140625" style="661" customWidth="1"/>
    <col min="6683" max="6683" width="5.109375" style="661" customWidth="1"/>
    <col min="6684" max="6685" width="5.5546875" style="661" customWidth="1"/>
    <col min="6686" max="6691" width="2.88671875" style="661" customWidth="1"/>
    <col min="6692" max="6692" width="2.6640625" style="661" customWidth="1"/>
    <col min="6693" max="6912" width="9.6640625" style="661" hidden="1"/>
    <col min="6913" max="6913" width="13.21875" style="661" customWidth="1"/>
    <col min="6914" max="6914" width="4.33203125" style="661" customWidth="1"/>
    <col min="6915" max="6919" width="5.21875" style="661" customWidth="1"/>
    <col min="6920" max="6920" width="6.5546875" style="661" customWidth="1"/>
    <col min="6921" max="6923" width="4.5546875" style="661" customWidth="1"/>
    <col min="6924" max="6925" width="6.21875" style="661" customWidth="1"/>
    <col min="6926" max="6927" width="5.6640625" style="661" customWidth="1"/>
    <col min="6928" max="6928" width="13.21875" style="661" customWidth="1"/>
    <col min="6929" max="6929" width="4.33203125" style="661" customWidth="1"/>
    <col min="6930" max="6930" width="6.109375" style="661" customWidth="1"/>
    <col min="6931" max="6931" width="4.5546875" style="661" customWidth="1"/>
    <col min="6932" max="6932" width="5.21875" style="661" customWidth="1"/>
    <col min="6933" max="6933" width="4.33203125" style="661" customWidth="1"/>
    <col min="6934" max="6934" width="5.44140625" style="661" customWidth="1"/>
    <col min="6935" max="6935" width="5.21875" style="661" customWidth="1"/>
    <col min="6936" max="6937" width="5.44140625" style="661" customWidth="1"/>
    <col min="6938" max="6938" width="4.44140625" style="661" customWidth="1"/>
    <col min="6939" max="6939" width="5.109375" style="661" customWidth="1"/>
    <col min="6940" max="6941" width="5.5546875" style="661" customWidth="1"/>
    <col min="6942" max="6947" width="2.88671875" style="661" customWidth="1"/>
    <col min="6948" max="6948" width="2.6640625" style="661" customWidth="1"/>
    <col min="6949" max="7168" width="9.6640625" style="661" hidden="1"/>
    <col min="7169" max="7169" width="13.21875" style="661" customWidth="1"/>
    <col min="7170" max="7170" width="4.33203125" style="661" customWidth="1"/>
    <col min="7171" max="7175" width="5.21875" style="661" customWidth="1"/>
    <col min="7176" max="7176" width="6.5546875" style="661" customWidth="1"/>
    <col min="7177" max="7179" width="4.5546875" style="661" customWidth="1"/>
    <col min="7180" max="7181" width="6.21875" style="661" customWidth="1"/>
    <col min="7182" max="7183" width="5.6640625" style="661" customWidth="1"/>
    <col min="7184" max="7184" width="13.21875" style="661" customWidth="1"/>
    <col min="7185" max="7185" width="4.33203125" style="661" customWidth="1"/>
    <col min="7186" max="7186" width="6.109375" style="661" customWidth="1"/>
    <col min="7187" max="7187" width="4.5546875" style="661" customWidth="1"/>
    <col min="7188" max="7188" width="5.21875" style="661" customWidth="1"/>
    <col min="7189" max="7189" width="4.33203125" style="661" customWidth="1"/>
    <col min="7190" max="7190" width="5.44140625" style="661" customWidth="1"/>
    <col min="7191" max="7191" width="5.21875" style="661" customWidth="1"/>
    <col min="7192" max="7193" width="5.44140625" style="661" customWidth="1"/>
    <col min="7194" max="7194" width="4.44140625" style="661" customWidth="1"/>
    <col min="7195" max="7195" width="5.109375" style="661" customWidth="1"/>
    <col min="7196" max="7197" width="5.5546875" style="661" customWidth="1"/>
    <col min="7198" max="7203" width="2.88671875" style="661" customWidth="1"/>
    <col min="7204" max="7204" width="2.6640625" style="661" customWidth="1"/>
    <col min="7205" max="7424" width="9.6640625" style="661" hidden="1"/>
    <col min="7425" max="7425" width="13.21875" style="661" customWidth="1"/>
    <col min="7426" max="7426" width="4.33203125" style="661" customWidth="1"/>
    <col min="7427" max="7431" width="5.21875" style="661" customWidth="1"/>
    <col min="7432" max="7432" width="6.5546875" style="661" customWidth="1"/>
    <col min="7433" max="7435" width="4.5546875" style="661" customWidth="1"/>
    <col min="7436" max="7437" width="6.21875" style="661" customWidth="1"/>
    <col min="7438" max="7439" width="5.6640625" style="661" customWidth="1"/>
    <col min="7440" max="7440" width="13.21875" style="661" customWidth="1"/>
    <col min="7441" max="7441" width="4.33203125" style="661" customWidth="1"/>
    <col min="7442" max="7442" width="6.109375" style="661" customWidth="1"/>
    <col min="7443" max="7443" width="4.5546875" style="661" customWidth="1"/>
    <col min="7444" max="7444" width="5.21875" style="661" customWidth="1"/>
    <col min="7445" max="7445" width="4.33203125" style="661" customWidth="1"/>
    <col min="7446" max="7446" width="5.44140625" style="661" customWidth="1"/>
    <col min="7447" max="7447" width="5.21875" style="661" customWidth="1"/>
    <col min="7448" max="7449" width="5.44140625" style="661" customWidth="1"/>
    <col min="7450" max="7450" width="4.44140625" style="661" customWidth="1"/>
    <col min="7451" max="7451" width="5.109375" style="661" customWidth="1"/>
    <col min="7452" max="7453" width="5.5546875" style="661" customWidth="1"/>
    <col min="7454" max="7459" width="2.88671875" style="661" customWidth="1"/>
    <col min="7460" max="7460" width="2.6640625" style="661" customWidth="1"/>
    <col min="7461" max="7680" width="9.6640625" style="661" hidden="1"/>
    <col min="7681" max="7681" width="13.21875" style="661" customWidth="1"/>
    <col min="7682" max="7682" width="4.33203125" style="661" customWidth="1"/>
    <col min="7683" max="7687" width="5.21875" style="661" customWidth="1"/>
    <col min="7688" max="7688" width="6.5546875" style="661" customWidth="1"/>
    <col min="7689" max="7691" width="4.5546875" style="661" customWidth="1"/>
    <col min="7692" max="7693" width="6.21875" style="661" customWidth="1"/>
    <col min="7694" max="7695" width="5.6640625" style="661" customWidth="1"/>
    <col min="7696" max="7696" width="13.21875" style="661" customWidth="1"/>
    <col min="7697" max="7697" width="4.33203125" style="661" customWidth="1"/>
    <col min="7698" max="7698" width="6.109375" style="661" customWidth="1"/>
    <col min="7699" max="7699" width="4.5546875" style="661" customWidth="1"/>
    <col min="7700" max="7700" width="5.21875" style="661" customWidth="1"/>
    <col min="7701" max="7701" width="4.33203125" style="661" customWidth="1"/>
    <col min="7702" max="7702" width="5.44140625" style="661" customWidth="1"/>
    <col min="7703" max="7703" width="5.21875" style="661" customWidth="1"/>
    <col min="7704" max="7705" width="5.44140625" style="661" customWidth="1"/>
    <col min="7706" max="7706" width="4.44140625" style="661" customWidth="1"/>
    <col min="7707" max="7707" width="5.109375" style="661" customWidth="1"/>
    <col min="7708" max="7709" width="5.5546875" style="661" customWidth="1"/>
    <col min="7710" max="7715" width="2.88671875" style="661" customWidth="1"/>
    <col min="7716" max="7716" width="2.6640625" style="661" customWidth="1"/>
    <col min="7717" max="7936" width="9.6640625" style="661" hidden="1"/>
    <col min="7937" max="7937" width="13.21875" style="661" customWidth="1"/>
    <col min="7938" max="7938" width="4.33203125" style="661" customWidth="1"/>
    <col min="7939" max="7943" width="5.21875" style="661" customWidth="1"/>
    <col min="7944" max="7944" width="6.5546875" style="661" customWidth="1"/>
    <col min="7945" max="7947" width="4.5546875" style="661" customWidth="1"/>
    <col min="7948" max="7949" width="6.21875" style="661" customWidth="1"/>
    <col min="7950" max="7951" width="5.6640625" style="661" customWidth="1"/>
    <col min="7952" max="7952" width="13.21875" style="661" customWidth="1"/>
    <col min="7953" max="7953" width="4.33203125" style="661" customWidth="1"/>
    <col min="7954" max="7954" width="6.109375" style="661" customWidth="1"/>
    <col min="7955" max="7955" width="4.5546875" style="661" customWidth="1"/>
    <col min="7956" max="7956" width="5.21875" style="661" customWidth="1"/>
    <col min="7957" max="7957" width="4.33203125" style="661" customWidth="1"/>
    <col min="7958" max="7958" width="5.44140625" style="661" customWidth="1"/>
    <col min="7959" max="7959" width="5.21875" style="661" customWidth="1"/>
    <col min="7960" max="7961" width="5.44140625" style="661" customWidth="1"/>
    <col min="7962" max="7962" width="4.44140625" style="661" customWidth="1"/>
    <col min="7963" max="7963" width="5.109375" style="661" customWidth="1"/>
    <col min="7964" max="7965" width="5.5546875" style="661" customWidth="1"/>
    <col min="7966" max="7971" width="2.88671875" style="661" customWidth="1"/>
    <col min="7972" max="7972" width="2.6640625" style="661" customWidth="1"/>
    <col min="7973" max="8192" width="9.6640625" style="661" hidden="1"/>
    <col min="8193" max="8193" width="13.21875" style="661" customWidth="1"/>
    <col min="8194" max="8194" width="4.33203125" style="661" customWidth="1"/>
    <col min="8195" max="8199" width="5.21875" style="661" customWidth="1"/>
    <col min="8200" max="8200" width="6.5546875" style="661" customWidth="1"/>
    <col min="8201" max="8203" width="4.5546875" style="661" customWidth="1"/>
    <col min="8204" max="8205" width="6.21875" style="661" customWidth="1"/>
    <col min="8206" max="8207" width="5.6640625" style="661" customWidth="1"/>
    <col min="8208" max="8208" width="13.21875" style="661" customWidth="1"/>
    <col min="8209" max="8209" width="4.33203125" style="661" customWidth="1"/>
    <col min="8210" max="8210" width="6.109375" style="661" customWidth="1"/>
    <col min="8211" max="8211" width="4.5546875" style="661" customWidth="1"/>
    <col min="8212" max="8212" width="5.21875" style="661" customWidth="1"/>
    <col min="8213" max="8213" width="4.33203125" style="661" customWidth="1"/>
    <col min="8214" max="8214" width="5.44140625" style="661" customWidth="1"/>
    <col min="8215" max="8215" width="5.21875" style="661" customWidth="1"/>
    <col min="8216" max="8217" width="5.44140625" style="661" customWidth="1"/>
    <col min="8218" max="8218" width="4.44140625" style="661" customWidth="1"/>
    <col min="8219" max="8219" width="5.109375" style="661" customWidth="1"/>
    <col min="8220" max="8221" width="5.5546875" style="661" customWidth="1"/>
    <col min="8222" max="8227" width="2.88671875" style="661" customWidth="1"/>
    <col min="8228" max="8228" width="2.6640625" style="661" customWidth="1"/>
    <col min="8229" max="8448" width="9.6640625" style="661" hidden="1"/>
    <col min="8449" max="8449" width="13.21875" style="661" customWidth="1"/>
    <col min="8450" max="8450" width="4.33203125" style="661" customWidth="1"/>
    <col min="8451" max="8455" width="5.21875" style="661" customWidth="1"/>
    <col min="8456" max="8456" width="6.5546875" style="661" customWidth="1"/>
    <col min="8457" max="8459" width="4.5546875" style="661" customWidth="1"/>
    <col min="8460" max="8461" width="6.21875" style="661" customWidth="1"/>
    <col min="8462" max="8463" width="5.6640625" style="661" customWidth="1"/>
    <col min="8464" max="8464" width="13.21875" style="661" customWidth="1"/>
    <col min="8465" max="8465" width="4.33203125" style="661" customWidth="1"/>
    <col min="8466" max="8466" width="6.109375" style="661" customWidth="1"/>
    <col min="8467" max="8467" width="4.5546875" style="661" customWidth="1"/>
    <col min="8468" max="8468" width="5.21875" style="661" customWidth="1"/>
    <col min="8469" max="8469" width="4.33203125" style="661" customWidth="1"/>
    <col min="8470" max="8470" width="5.44140625" style="661" customWidth="1"/>
    <col min="8471" max="8471" width="5.21875" style="661" customWidth="1"/>
    <col min="8472" max="8473" width="5.44140625" style="661" customWidth="1"/>
    <col min="8474" max="8474" width="4.44140625" style="661" customWidth="1"/>
    <col min="8475" max="8475" width="5.109375" style="661" customWidth="1"/>
    <col min="8476" max="8477" width="5.5546875" style="661" customWidth="1"/>
    <col min="8478" max="8483" width="2.88671875" style="661" customWidth="1"/>
    <col min="8484" max="8484" width="2.6640625" style="661" customWidth="1"/>
    <col min="8485" max="8704" width="9.6640625" style="661" hidden="1"/>
    <col min="8705" max="8705" width="13.21875" style="661" customWidth="1"/>
    <col min="8706" max="8706" width="4.33203125" style="661" customWidth="1"/>
    <col min="8707" max="8711" width="5.21875" style="661" customWidth="1"/>
    <col min="8712" max="8712" width="6.5546875" style="661" customWidth="1"/>
    <col min="8713" max="8715" width="4.5546875" style="661" customWidth="1"/>
    <col min="8716" max="8717" width="6.21875" style="661" customWidth="1"/>
    <col min="8718" max="8719" width="5.6640625" style="661" customWidth="1"/>
    <col min="8720" max="8720" width="13.21875" style="661" customWidth="1"/>
    <col min="8721" max="8721" width="4.33203125" style="661" customWidth="1"/>
    <col min="8722" max="8722" width="6.109375" style="661" customWidth="1"/>
    <col min="8723" max="8723" width="4.5546875" style="661" customWidth="1"/>
    <col min="8724" max="8724" width="5.21875" style="661" customWidth="1"/>
    <col min="8725" max="8725" width="4.33203125" style="661" customWidth="1"/>
    <col min="8726" max="8726" width="5.44140625" style="661" customWidth="1"/>
    <col min="8727" max="8727" width="5.21875" style="661" customWidth="1"/>
    <col min="8728" max="8729" width="5.44140625" style="661" customWidth="1"/>
    <col min="8730" max="8730" width="4.44140625" style="661" customWidth="1"/>
    <col min="8731" max="8731" width="5.109375" style="661" customWidth="1"/>
    <col min="8732" max="8733" width="5.5546875" style="661" customWidth="1"/>
    <col min="8734" max="8739" width="2.88671875" style="661" customWidth="1"/>
    <col min="8740" max="8740" width="2.6640625" style="661" customWidth="1"/>
    <col min="8741" max="8960" width="9.6640625" style="661" hidden="1"/>
    <col min="8961" max="8961" width="13.21875" style="661" customWidth="1"/>
    <col min="8962" max="8962" width="4.33203125" style="661" customWidth="1"/>
    <col min="8963" max="8967" width="5.21875" style="661" customWidth="1"/>
    <col min="8968" max="8968" width="6.5546875" style="661" customWidth="1"/>
    <col min="8969" max="8971" width="4.5546875" style="661" customWidth="1"/>
    <col min="8972" max="8973" width="6.21875" style="661" customWidth="1"/>
    <col min="8974" max="8975" width="5.6640625" style="661" customWidth="1"/>
    <col min="8976" max="8976" width="13.21875" style="661" customWidth="1"/>
    <col min="8977" max="8977" width="4.33203125" style="661" customWidth="1"/>
    <col min="8978" max="8978" width="6.109375" style="661" customWidth="1"/>
    <col min="8979" max="8979" width="4.5546875" style="661" customWidth="1"/>
    <col min="8980" max="8980" width="5.21875" style="661" customWidth="1"/>
    <col min="8981" max="8981" width="4.33203125" style="661" customWidth="1"/>
    <col min="8982" max="8982" width="5.44140625" style="661" customWidth="1"/>
    <col min="8983" max="8983" width="5.21875" style="661" customWidth="1"/>
    <col min="8984" max="8985" width="5.44140625" style="661" customWidth="1"/>
    <col min="8986" max="8986" width="4.44140625" style="661" customWidth="1"/>
    <col min="8987" max="8987" width="5.109375" style="661" customWidth="1"/>
    <col min="8988" max="8989" width="5.5546875" style="661" customWidth="1"/>
    <col min="8990" max="8995" width="2.88671875" style="661" customWidth="1"/>
    <col min="8996" max="8996" width="2.6640625" style="661" customWidth="1"/>
    <col min="8997" max="9216" width="9.6640625" style="661" hidden="1"/>
    <col min="9217" max="9217" width="13.21875" style="661" customWidth="1"/>
    <col min="9218" max="9218" width="4.33203125" style="661" customWidth="1"/>
    <col min="9219" max="9223" width="5.21875" style="661" customWidth="1"/>
    <col min="9224" max="9224" width="6.5546875" style="661" customWidth="1"/>
    <col min="9225" max="9227" width="4.5546875" style="661" customWidth="1"/>
    <col min="9228" max="9229" width="6.21875" style="661" customWidth="1"/>
    <col min="9230" max="9231" width="5.6640625" style="661" customWidth="1"/>
    <col min="9232" max="9232" width="13.21875" style="661" customWidth="1"/>
    <col min="9233" max="9233" width="4.33203125" style="661" customWidth="1"/>
    <col min="9234" max="9234" width="6.109375" style="661" customWidth="1"/>
    <col min="9235" max="9235" width="4.5546875" style="661" customWidth="1"/>
    <col min="9236" max="9236" width="5.21875" style="661" customWidth="1"/>
    <col min="9237" max="9237" width="4.33203125" style="661" customWidth="1"/>
    <col min="9238" max="9238" width="5.44140625" style="661" customWidth="1"/>
    <col min="9239" max="9239" width="5.21875" style="661" customWidth="1"/>
    <col min="9240" max="9241" width="5.44140625" style="661" customWidth="1"/>
    <col min="9242" max="9242" width="4.44140625" style="661" customWidth="1"/>
    <col min="9243" max="9243" width="5.109375" style="661" customWidth="1"/>
    <col min="9244" max="9245" width="5.5546875" style="661" customWidth="1"/>
    <col min="9246" max="9251" width="2.88671875" style="661" customWidth="1"/>
    <col min="9252" max="9252" width="2.6640625" style="661" customWidth="1"/>
    <col min="9253" max="9472" width="9.6640625" style="661" hidden="1"/>
    <col min="9473" max="9473" width="13.21875" style="661" customWidth="1"/>
    <col min="9474" max="9474" width="4.33203125" style="661" customWidth="1"/>
    <col min="9475" max="9479" width="5.21875" style="661" customWidth="1"/>
    <col min="9480" max="9480" width="6.5546875" style="661" customWidth="1"/>
    <col min="9481" max="9483" width="4.5546875" style="661" customWidth="1"/>
    <col min="9484" max="9485" width="6.21875" style="661" customWidth="1"/>
    <col min="9486" max="9487" width="5.6640625" style="661" customWidth="1"/>
    <col min="9488" max="9488" width="13.21875" style="661" customWidth="1"/>
    <col min="9489" max="9489" width="4.33203125" style="661" customWidth="1"/>
    <col min="9490" max="9490" width="6.109375" style="661" customWidth="1"/>
    <col min="9491" max="9491" width="4.5546875" style="661" customWidth="1"/>
    <col min="9492" max="9492" width="5.21875" style="661" customWidth="1"/>
    <col min="9493" max="9493" width="4.33203125" style="661" customWidth="1"/>
    <col min="9494" max="9494" width="5.44140625" style="661" customWidth="1"/>
    <col min="9495" max="9495" width="5.21875" style="661" customWidth="1"/>
    <col min="9496" max="9497" width="5.44140625" style="661" customWidth="1"/>
    <col min="9498" max="9498" width="4.44140625" style="661" customWidth="1"/>
    <col min="9499" max="9499" width="5.109375" style="661" customWidth="1"/>
    <col min="9500" max="9501" width="5.5546875" style="661" customWidth="1"/>
    <col min="9502" max="9507" width="2.88671875" style="661" customWidth="1"/>
    <col min="9508" max="9508" width="2.6640625" style="661" customWidth="1"/>
    <col min="9509" max="9728" width="9.6640625" style="661" hidden="1"/>
    <col min="9729" max="9729" width="13.21875" style="661" customWidth="1"/>
    <col min="9730" max="9730" width="4.33203125" style="661" customWidth="1"/>
    <col min="9731" max="9735" width="5.21875" style="661" customWidth="1"/>
    <col min="9736" max="9736" width="6.5546875" style="661" customWidth="1"/>
    <col min="9737" max="9739" width="4.5546875" style="661" customWidth="1"/>
    <col min="9740" max="9741" width="6.21875" style="661" customWidth="1"/>
    <col min="9742" max="9743" width="5.6640625" style="661" customWidth="1"/>
    <col min="9744" max="9744" width="13.21875" style="661" customWidth="1"/>
    <col min="9745" max="9745" width="4.33203125" style="661" customWidth="1"/>
    <col min="9746" max="9746" width="6.109375" style="661" customWidth="1"/>
    <col min="9747" max="9747" width="4.5546875" style="661" customWidth="1"/>
    <col min="9748" max="9748" width="5.21875" style="661" customWidth="1"/>
    <col min="9749" max="9749" width="4.33203125" style="661" customWidth="1"/>
    <col min="9750" max="9750" width="5.44140625" style="661" customWidth="1"/>
    <col min="9751" max="9751" width="5.21875" style="661" customWidth="1"/>
    <col min="9752" max="9753" width="5.44140625" style="661" customWidth="1"/>
    <col min="9754" max="9754" width="4.44140625" style="661" customWidth="1"/>
    <col min="9755" max="9755" width="5.109375" style="661" customWidth="1"/>
    <col min="9756" max="9757" width="5.5546875" style="661" customWidth="1"/>
    <col min="9758" max="9763" width="2.88671875" style="661" customWidth="1"/>
    <col min="9764" max="9764" width="2.6640625" style="661" customWidth="1"/>
    <col min="9765" max="9984" width="9.6640625" style="661" hidden="1"/>
    <col min="9985" max="9985" width="13.21875" style="661" customWidth="1"/>
    <col min="9986" max="9986" width="4.33203125" style="661" customWidth="1"/>
    <col min="9987" max="9991" width="5.21875" style="661" customWidth="1"/>
    <col min="9992" max="9992" width="6.5546875" style="661" customWidth="1"/>
    <col min="9993" max="9995" width="4.5546875" style="661" customWidth="1"/>
    <col min="9996" max="9997" width="6.21875" style="661" customWidth="1"/>
    <col min="9998" max="9999" width="5.6640625" style="661" customWidth="1"/>
    <col min="10000" max="10000" width="13.21875" style="661" customWidth="1"/>
    <col min="10001" max="10001" width="4.33203125" style="661" customWidth="1"/>
    <col min="10002" max="10002" width="6.109375" style="661" customWidth="1"/>
    <col min="10003" max="10003" width="4.5546875" style="661" customWidth="1"/>
    <col min="10004" max="10004" width="5.21875" style="661" customWidth="1"/>
    <col min="10005" max="10005" width="4.33203125" style="661" customWidth="1"/>
    <col min="10006" max="10006" width="5.44140625" style="661" customWidth="1"/>
    <col min="10007" max="10007" width="5.21875" style="661" customWidth="1"/>
    <col min="10008" max="10009" width="5.44140625" style="661" customWidth="1"/>
    <col min="10010" max="10010" width="4.44140625" style="661" customWidth="1"/>
    <col min="10011" max="10011" width="5.109375" style="661" customWidth="1"/>
    <col min="10012" max="10013" width="5.5546875" style="661" customWidth="1"/>
    <col min="10014" max="10019" width="2.88671875" style="661" customWidth="1"/>
    <col min="10020" max="10020" width="2.6640625" style="661" customWidth="1"/>
    <col min="10021" max="10240" width="9.6640625" style="661" hidden="1"/>
    <col min="10241" max="10241" width="13.21875" style="661" customWidth="1"/>
    <col min="10242" max="10242" width="4.33203125" style="661" customWidth="1"/>
    <col min="10243" max="10247" width="5.21875" style="661" customWidth="1"/>
    <col min="10248" max="10248" width="6.5546875" style="661" customWidth="1"/>
    <col min="10249" max="10251" width="4.5546875" style="661" customWidth="1"/>
    <col min="10252" max="10253" width="6.21875" style="661" customWidth="1"/>
    <col min="10254" max="10255" width="5.6640625" style="661" customWidth="1"/>
    <col min="10256" max="10256" width="13.21875" style="661" customWidth="1"/>
    <col min="10257" max="10257" width="4.33203125" style="661" customWidth="1"/>
    <col min="10258" max="10258" width="6.109375" style="661" customWidth="1"/>
    <col min="10259" max="10259" width="4.5546875" style="661" customWidth="1"/>
    <col min="10260" max="10260" width="5.21875" style="661" customWidth="1"/>
    <col min="10261" max="10261" width="4.33203125" style="661" customWidth="1"/>
    <col min="10262" max="10262" width="5.44140625" style="661" customWidth="1"/>
    <col min="10263" max="10263" width="5.21875" style="661" customWidth="1"/>
    <col min="10264" max="10265" width="5.44140625" style="661" customWidth="1"/>
    <col min="10266" max="10266" width="4.44140625" style="661" customWidth="1"/>
    <col min="10267" max="10267" width="5.109375" style="661" customWidth="1"/>
    <col min="10268" max="10269" width="5.5546875" style="661" customWidth="1"/>
    <col min="10270" max="10275" width="2.88671875" style="661" customWidth="1"/>
    <col min="10276" max="10276" width="2.6640625" style="661" customWidth="1"/>
    <col min="10277" max="10496" width="9.6640625" style="661" hidden="1"/>
    <col min="10497" max="10497" width="13.21875" style="661" customWidth="1"/>
    <col min="10498" max="10498" width="4.33203125" style="661" customWidth="1"/>
    <col min="10499" max="10503" width="5.21875" style="661" customWidth="1"/>
    <col min="10504" max="10504" width="6.5546875" style="661" customWidth="1"/>
    <col min="10505" max="10507" width="4.5546875" style="661" customWidth="1"/>
    <col min="10508" max="10509" width="6.21875" style="661" customWidth="1"/>
    <col min="10510" max="10511" width="5.6640625" style="661" customWidth="1"/>
    <col min="10512" max="10512" width="13.21875" style="661" customWidth="1"/>
    <col min="10513" max="10513" width="4.33203125" style="661" customWidth="1"/>
    <col min="10514" max="10514" width="6.109375" style="661" customWidth="1"/>
    <col min="10515" max="10515" width="4.5546875" style="661" customWidth="1"/>
    <col min="10516" max="10516" width="5.21875" style="661" customWidth="1"/>
    <col min="10517" max="10517" width="4.33203125" style="661" customWidth="1"/>
    <col min="10518" max="10518" width="5.44140625" style="661" customWidth="1"/>
    <col min="10519" max="10519" width="5.21875" style="661" customWidth="1"/>
    <col min="10520" max="10521" width="5.44140625" style="661" customWidth="1"/>
    <col min="10522" max="10522" width="4.44140625" style="661" customWidth="1"/>
    <col min="10523" max="10523" width="5.109375" style="661" customWidth="1"/>
    <col min="10524" max="10525" width="5.5546875" style="661" customWidth="1"/>
    <col min="10526" max="10531" width="2.88671875" style="661" customWidth="1"/>
    <col min="10532" max="10532" width="2.6640625" style="661" customWidth="1"/>
    <col min="10533" max="10752" width="9.6640625" style="661" hidden="1"/>
    <col min="10753" max="10753" width="13.21875" style="661" customWidth="1"/>
    <col min="10754" max="10754" width="4.33203125" style="661" customWidth="1"/>
    <col min="10755" max="10759" width="5.21875" style="661" customWidth="1"/>
    <col min="10760" max="10760" width="6.5546875" style="661" customWidth="1"/>
    <col min="10761" max="10763" width="4.5546875" style="661" customWidth="1"/>
    <col min="10764" max="10765" width="6.21875" style="661" customWidth="1"/>
    <col min="10766" max="10767" width="5.6640625" style="661" customWidth="1"/>
    <col min="10768" max="10768" width="13.21875" style="661" customWidth="1"/>
    <col min="10769" max="10769" width="4.33203125" style="661" customWidth="1"/>
    <col min="10770" max="10770" width="6.109375" style="661" customWidth="1"/>
    <col min="10771" max="10771" width="4.5546875" style="661" customWidth="1"/>
    <col min="10772" max="10772" width="5.21875" style="661" customWidth="1"/>
    <col min="10773" max="10773" width="4.33203125" style="661" customWidth="1"/>
    <col min="10774" max="10774" width="5.44140625" style="661" customWidth="1"/>
    <col min="10775" max="10775" width="5.21875" style="661" customWidth="1"/>
    <col min="10776" max="10777" width="5.44140625" style="661" customWidth="1"/>
    <col min="10778" max="10778" width="4.44140625" style="661" customWidth="1"/>
    <col min="10779" max="10779" width="5.109375" style="661" customWidth="1"/>
    <col min="10780" max="10781" width="5.5546875" style="661" customWidth="1"/>
    <col min="10782" max="10787" width="2.88671875" style="661" customWidth="1"/>
    <col min="10788" max="10788" width="2.6640625" style="661" customWidth="1"/>
    <col min="10789" max="11008" width="9.6640625" style="661" hidden="1"/>
    <col min="11009" max="11009" width="13.21875" style="661" customWidth="1"/>
    <col min="11010" max="11010" width="4.33203125" style="661" customWidth="1"/>
    <col min="11011" max="11015" width="5.21875" style="661" customWidth="1"/>
    <col min="11016" max="11016" width="6.5546875" style="661" customWidth="1"/>
    <col min="11017" max="11019" width="4.5546875" style="661" customWidth="1"/>
    <col min="11020" max="11021" width="6.21875" style="661" customWidth="1"/>
    <col min="11022" max="11023" width="5.6640625" style="661" customWidth="1"/>
    <col min="11024" max="11024" width="13.21875" style="661" customWidth="1"/>
    <col min="11025" max="11025" width="4.33203125" style="661" customWidth="1"/>
    <col min="11026" max="11026" width="6.109375" style="661" customWidth="1"/>
    <col min="11027" max="11027" width="4.5546875" style="661" customWidth="1"/>
    <col min="11028" max="11028" width="5.21875" style="661" customWidth="1"/>
    <col min="11029" max="11029" width="4.33203125" style="661" customWidth="1"/>
    <col min="11030" max="11030" width="5.44140625" style="661" customWidth="1"/>
    <col min="11031" max="11031" width="5.21875" style="661" customWidth="1"/>
    <col min="11032" max="11033" width="5.44140625" style="661" customWidth="1"/>
    <col min="11034" max="11034" width="4.44140625" style="661" customWidth="1"/>
    <col min="11035" max="11035" width="5.109375" style="661" customWidth="1"/>
    <col min="11036" max="11037" width="5.5546875" style="661" customWidth="1"/>
    <col min="11038" max="11043" width="2.88671875" style="661" customWidth="1"/>
    <col min="11044" max="11044" width="2.6640625" style="661" customWidth="1"/>
    <col min="11045" max="11264" width="9.6640625" style="661" hidden="1"/>
    <col min="11265" max="11265" width="13.21875" style="661" customWidth="1"/>
    <col min="11266" max="11266" width="4.33203125" style="661" customWidth="1"/>
    <col min="11267" max="11271" width="5.21875" style="661" customWidth="1"/>
    <col min="11272" max="11272" width="6.5546875" style="661" customWidth="1"/>
    <col min="11273" max="11275" width="4.5546875" style="661" customWidth="1"/>
    <col min="11276" max="11277" width="6.21875" style="661" customWidth="1"/>
    <col min="11278" max="11279" width="5.6640625" style="661" customWidth="1"/>
    <col min="11280" max="11280" width="13.21875" style="661" customWidth="1"/>
    <col min="11281" max="11281" width="4.33203125" style="661" customWidth="1"/>
    <col min="11282" max="11282" width="6.109375" style="661" customWidth="1"/>
    <col min="11283" max="11283" width="4.5546875" style="661" customWidth="1"/>
    <col min="11284" max="11284" width="5.21875" style="661" customWidth="1"/>
    <col min="11285" max="11285" width="4.33203125" style="661" customWidth="1"/>
    <col min="11286" max="11286" width="5.44140625" style="661" customWidth="1"/>
    <col min="11287" max="11287" width="5.21875" style="661" customWidth="1"/>
    <col min="11288" max="11289" width="5.44140625" style="661" customWidth="1"/>
    <col min="11290" max="11290" width="4.44140625" style="661" customWidth="1"/>
    <col min="11291" max="11291" width="5.109375" style="661" customWidth="1"/>
    <col min="11292" max="11293" width="5.5546875" style="661" customWidth="1"/>
    <col min="11294" max="11299" width="2.88671875" style="661" customWidth="1"/>
    <col min="11300" max="11300" width="2.6640625" style="661" customWidth="1"/>
    <col min="11301" max="11520" width="9.6640625" style="661" hidden="1"/>
    <col min="11521" max="11521" width="13.21875" style="661" customWidth="1"/>
    <col min="11522" max="11522" width="4.33203125" style="661" customWidth="1"/>
    <col min="11523" max="11527" width="5.21875" style="661" customWidth="1"/>
    <col min="11528" max="11528" width="6.5546875" style="661" customWidth="1"/>
    <col min="11529" max="11531" width="4.5546875" style="661" customWidth="1"/>
    <col min="11532" max="11533" width="6.21875" style="661" customWidth="1"/>
    <col min="11534" max="11535" width="5.6640625" style="661" customWidth="1"/>
    <col min="11536" max="11536" width="13.21875" style="661" customWidth="1"/>
    <col min="11537" max="11537" width="4.33203125" style="661" customWidth="1"/>
    <col min="11538" max="11538" width="6.109375" style="661" customWidth="1"/>
    <col min="11539" max="11539" width="4.5546875" style="661" customWidth="1"/>
    <col min="11540" max="11540" width="5.21875" style="661" customWidth="1"/>
    <col min="11541" max="11541" width="4.33203125" style="661" customWidth="1"/>
    <col min="11542" max="11542" width="5.44140625" style="661" customWidth="1"/>
    <col min="11543" max="11543" width="5.21875" style="661" customWidth="1"/>
    <col min="11544" max="11545" width="5.44140625" style="661" customWidth="1"/>
    <col min="11546" max="11546" width="4.44140625" style="661" customWidth="1"/>
    <col min="11547" max="11547" width="5.109375" style="661" customWidth="1"/>
    <col min="11548" max="11549" width="5.5546875" style="661" customWidth="1"/>
    <col min="11550" max="11555" width="2.88671875" style="661" customWidth="1"/>
    <col min="11556" max="11556" width="2.6640625" style="661" customWidth="1"/>
    <col min="11557" max="11776" width="9.6640625" style="661" hidden="1"/>
    <col min="11777" max="11777" width="13.21875" style="661" customWidth="1"/>
    <col min="11778" max="11778" width="4.33203125" style="661" customWidth="1"/>
    <col min="11779" max="11783" width="5.21875" style="661" customWidth="1"/>
    <col min="11784" max="11784" width="6.5546875" style="661" customWidth="1"/>
    <col min="11785" max="11787" width="4.5546875" style="661" customWidth="1"/>
    <col min="11788" max="11789" width="6.21875" style="661" customWidth="1"/>
    <col min="11790" max="11791" width="5.6640625" style="661" customWidth="1"/>
    <col min="11792" max="11792" width="13.21875" style="661" customWidth="1"/>
    <col min="11793" max="11793" width="4.33203125" style="661" customWidth="1"/>
    <col min="11794" max="11794" width="6.109375" style="661" customWidth="1"/>
    <col min="11795" max="11795" width="4.5546875" style="661" customWidth="1"/>
    <col min="11796" max="11796" width="5.21875" style="661" customWidth="1"/>
    <col min="11797" max="11797" width="4.33203125" style="661" customWidth="1"/>
    <col min="11798" max="11798" width="5.44140625" style="661" customWidth="1"/>
    <col min="11799" max="11799" width="5.21875" style="661" customWidth="1"/>
    <col min="11800" max="11801" width="5.44140625" style="661" customWidth="1"/>
    <col min="11802" max="11802" width="4.44140625" style="661" customWidth="1"/>
    <col min="11803" max="11803" width="5.109375" style="661" customWidth="1"/>
    <col min="11804" max="11805" width="5.5546875" style="661" customWidth="1"/>
    <col min="11806" max="11811" width="2.88671875" style="661" customWidth="1"/>
    <col min="11812" max="11812" width="2.6640625" style="661" customWidth="1"/>
    <col min="11813" max="12032" width="9.6640625" style="661" hidden="1"/>
    <col min="12033" max="12033" width="13.21875" style="661" customWidth="1"/>
    <col min="12034" max="12034" width="4.33203125" style="661" customWidth="1"/>
    <col min="12035" max="12039" width="5.21875" style="661" customWidth="1"/>
    <col min="12040" max="12040" width="6.5546875" style="661" customWidth="1"/>
    <col min="12041" max="12043" width="4.5546875" style="661" customWidth="1"/>
    <col min="12044" max="12045" width="6.21875" style="661" customWidth="1"/>
    <col min="12046" max="12047" width="5.6640625" style="661" customWidth="1"/>
    <col min="12048" max="12048" width="13.21875" style="661" customWidth="1"/>
    <col min="12049" max="12049" width="4.33203125" style="661" customWidth="1"/>
    <col min="12050" max="12050" width="6.109375" style="661" customWidth="1"/>
    <col min="12051" max="12051" width="4.5546875" style="661" customWidth="1"/>
    <col min="12052" max="12052" width="5.21875" style="661" customWidth="1"/>
    <col min="12053" max="12053" width="4.33203125" style="661" customWidth="1"/>
    <col min="12054" max="12054" width="5.44140625" style="661" customWidth="1"/>
    <col min="12055" max="12055" width="5.21875" style="661" customWidth="1"/>
    <col min="12056" max="12057" width="5.44140625" style="661" customWidth="1"/>
    <col min="12058" max="12058" width="4.44140625" style="661" customWidth="1"/>
    <col min="12059" max="12059" width="5.109375" style="661" customWidth="1"/>
    <col min="12060" max="12061" width="5.5546875" style="661" customWidth="1"/>
    <col min="12062" max="12067" width="2.88671875" style="661" customWidth="1"/>
    <col min="12068" max="12068" width="2.6640625" style="661" customWidth="1"/>
    <col min="12069" max="12288" width="9.6640625" style="661" hidden="1"/>
    <col min="12289" max="12289" width="13.21875" style="661" customWidth="1"/>
    <col min="12290" max="12290" width="4.33203125" style="661" customWidth="1"/>
    <col min="12291" max="12295" width="5.21875" style="661" customWidth="1"/>
    <col min="12296" max="12296" width="6.5546875" style="661" customWidth="1"/>
    <col min="12297" max="12299" width="4.5546875" style="661" customWidth="1"/>
    <col min="12300" max="12301" width="6.21875" style="661" customWidth="1"/>
    <col min="12302" max="12303" width="5.6640625" style="661" customWidth="1"/>
    <col min="12304" max="12304" width="13.21875" style="661" customWidth="1"/>
    <col min="12305" max="12305" width="4.33203125" style="661" customWidth="1"/>
    <col min="12306" max="12306" width="6.109375" style="661" customWidth="1"/>
    <col min="12307" max="12307" width="4.5546875" style="661" customWidth="1"/>
    <col min="12308" max="12308" width="5.21875" style="661" customWidth="1"/>
    <col min="12309" max="12309" width="4.33203125" style="661" customWidth="1"/>
    <col min="12310" max="12310" width="5.44140625" style="661" customWidth="1"/>
    <col min="12311" max="12311" width="5.21875" style="661" customWidth="1"/>
    <col min="12312" max="12313" width="5.44140625" style="661" customWidth="1"/>
    <col min="12314" max="12314" width="4.44140625" style="661" customWidth="1"/>
    <col min="12315" max="12315" width="5.109375" style="661" customWidth="1"/>
    <col min="12316" max="12317" width="5.5546875" style="661" customWidth="1"/>
    <col min="12318" max="12323" width="2.88671875" style="661" customWidth="1"/>
    <col min="12324" max="12324" width="2.6640625" style="661" customWidth="1"/>
    <col min="12325" max="12544" width="9.6640625" style="661" hidden="1"/>
    <col min="12545" max="12545" width="13.21875" style="661" customWidth="1"/>
    <col min="12546" max="12546" width="4.33203125" style="661" customWidth="1"/>
    <col min="12547" max="12551" width="5.21875" style="661" customWidth="1"/>
    <col min="12552" max="12552" width="6.5546875" style="661" customWidth="1"/>
    <col min="12553" max="12555" width="4.5546875" style="661" customWidth="1"/>
    <col min="12556" max="12557" width="6.21875" style="661" customWidth="1"/>
    <col min="12558" max="12559" width="5.6640625" style="661" customWidth="1"/>
    <col min="12560" max="12560" width="13.21875" style="661" customWidth="1"/>
    <col min="12561" max="12561" width="4.33203125" style="661" customWidth="1"/>
    <col min="12562" max="12562" width="6.109375" style="661" customWidth="1"/>
    <col min="12563" max="12563" width="4.5546875" style="661" customWidth="1"/>
    <col min="12564" max="12564" width="5.21875" style="661" customWidth="1"/>
    <col min="12565" max="12565" width="4.33203125" style="661" customWidth="1"/>
    <col min="12566" max="12566" width="5.44140625" style="661" customWidth="1"/>
    <col min="12567" max="12567" width="5.21875" style="661" customWidth="1"/>
    <col min="12568" max="12569" width="5.44140625" style="661" customWidth="1"/>
    <col min="12570" max="12570" width="4.44140625" style="661" customWidth="1"/>
    <col min="12571" max="12571" width="5.109375" style="661" customWidth="1"/>
    <col min="12572" max="12573" width="5.5546875" style="661" customWidth="1"/>
    <col min="12574" max="12579" width="2.88671875" style="661" customWidth="1"/>
    <col min="12580" max="12580" width="2.6640625" style="661" customWidth="1"/>
    <col min="12581" max="12800" width="9.6640625" style="661" hidden="1"/>
    <col min="12801" max="12801" width="13.21875" style="661" customWidth="1"/>
    <col min="12802" max="12802" width="4.33203125" style="661" customWidth="1"/>
    <col min="12803" max="12807" width="5.21875" style="661" customWidth="1"/>
    <col min="12808" max="12808" width="6.5546875" style="661" customWidth="1"/>
    <col min="12809" max="12811" width="4.5546875" style="661" customWidth="1"/>
    <col min="12812" max="12813" width="6.21875" style="661" customWidth="1"/>
    <col min="12814" max="12815" width="5.6640625" style="661" customWidth="1"/>
    <col min="12816" max="12816" width="13.21875" style="661" customWidth="1"/>
    <col min="12817" max="12817" width="4.33203125" style="661" customWidth="1"/>
    <col min="12818" max="12818" width="6.109375" style="661" customWidth="1"/>
    <col min="12819" max="12819" width="4.5546875" style="661" customWidth="1"/>
    <col min="12820" max="12820" width="5.21875" style="661" customWidth="1"/>
    <col min="12821" max="12821" width="4.33203125" style="661" customWidth="1"/>
    <col min="12822" max="12822" width="5.44140625" style="661" customWidth="1"/>
    <col min="12823" max="12823" width="5.21875" style="661" customWidth="1"/>
    <col min="12824" max="12825" width="5.44140625" style="661" customWidth="1"/>
    <col min="12826" max="12826" width="4.44140625" style="661" customWidth="1"/>
    <col min="12827" max="12827" width="5.109375" style="661" customWidth="1"/>
    <col min="12828" max="12829" width="5.5546875" style="661" customWidth="1"/>
    <col min="12830" max="12835" width="2.88671875" style="661" customWidth="1"/>
    <col min="12836" max="12836" width="2.6640625" style="661" customWidth="1"/>
    <col min="12837" max="13056" width="9.6640625" style="661" hidden="1"/>
    <col min="13057" max="13057" width="13.21875" style="661" customWidth="1"/>
    <col min="13058" max="13058" width="4.33203125" style="661" customWidth="1"/>
    <col min="13059" max="13063" width="5.21875" style="661" customWidth="1"/>
    <col min="13064" max="13064" width="6.5546875" style="661" customWidth="1"/>
    <col min="13065" max="13067" width="4.5546875" style="661" customWidth="1"/>
    <col min="13068" max="13069" width="6.21875" style="661" customWidth="1"/>
    <col min="13070" max="13071" width="5.6640625" style="661" customWidth="1"/>
    <col min="13072" max="13072" width="13.21875" style="661" customWidth="1"/>
    <col min="13073" max="13073" width="4.33203125" style="661" customWidth="1"/>
    <col min="13074" max="13074" width="6.109375" style="661" customWidth="1"/>
    <col min="13075" max="13075" width="4.5546875" style="661" customWidth="1"/>
    <col min="13076" max="13076" width="5.21875" style="661" customWidth="1"/>
    <col min="13077" max="13077" width="4.33203125" style="661" customWidth="1"/>
    <col min="13078" max="13078" width="5.44140625" style="661" customWidth="1"/>
    <col min="13079" max="13079" width="5.21875" style="661" customWidth="1"/>
    <col min="13080" max="13081" width="5.44140625" style="661" customWidth="1"/>
    <col min="13082" max="13082" width="4.44140625" style="661" customWidth="1"/>
    <col min="13083" max="13083" width="5.109375" style="661" customWidth="1"/>
    <col min="13084" max="13085" width="5.5546875" style="661" customWidth="1"/>
    <col min="13086" max="13091" width="2.88671875" style="661" customWidth="1"/>
    <col min="13092" max="13092" width="2.6640625" style="661" customWidth="1"/>
    <col min="13093" max="13312" width="9.6640625" style="661" hidden="1"/>
    <col min="13313" max="13313" width="13.21875" style="661" customWidth="1"/>
    <col min="13314" max="13314" width="4.33203125" style="661" customWidth="1"/>
    <col min="13315" max="13319" width="5.21875" style="661" customWidth="1"/>
    <col min="13320" max="13320" width="6.5546875" style="661" customWidth="1"/>
    <col min="13321" max="13323" width="4.5546875" style="661" customWidth="1"/>
    <col min="13324" max="13325" width="6.21875" style="661" customWidth="1"/>
    <col min="13326" max="13327" width="5.6640625" style="661" customWidth="1"/>
    <col min="13328" max="13328" width="13.21875" style="661" customWidth="1"/>
    <col min="13329" max="13329" width="4.33203125" style="661" customWidth="1"/>
    <col min="13330" max="13330" width="6.109375" style="661" customWidth="1"/>
    <col min="13331" max="13331" width="4.5546875" style="661" customWidth="1"/>
    <col min="13332" max="13332" width="5.21875" style="661" customWidth="1"/>
    <col min="13333" max="13333" width="4.33203125" style="661" customWidth="1"/>
    <col min="13334" max="13334" width="5.44140625" style="661" customWidth="1"/>
    <col min="13335" max="13335" width="5.21875" style="661" customWidth="1"/>
    <col min="13336" max="13337" width="5.44140625" style="661" customWidth="1"/>
    <col min="13338" max="13338" width="4.44140625" style="661" customWidth="1"/>
    <col min="13339" max="13339" width="5.109375" style="661" customWidth="1"/>
    <col min="13340" max="13341" width="5.5546875" style="661" customWidth="1"/>
    <col min="13342" max="13347" width="2.88671875" style="661" customWidth="1"/>
    <col min="13348" max="13348" width="2.6640625" style="661" customWidth="1"/>
    <col min="13349" max="13568" width="9.6640625" style="661" hidden="1"/>
    <col min="13569" max="13569" width="13.21875" style="661" customWidth="1"/>
    <col min="13570" max="13570" width="4.33203125" style="661" customWidth="1"/>
    <col min="13571" max="13575" width="5.21875" style="661" customWidth="1"/>
    <col min="13576" max="13576" width="6.5546875" style="661" customWidth="1"/>
    <col min="13577" max="13579" width="4.5546875" style="661" customWidth="1"/>
    <col min="13580" max="13581" width="6.21875" style="661" customWidth="1"/>
    <col min="13582" max="13583" width="5.6640625" style="661" customWidth="1"/>
    <col min="13584" max="13584" width="13.21875" style="661" customWidth="1"/>
    <col min="13585" max="13585" width="4.33203125" style="661" customWidth="1"/>
    <col min="13586" max="13586" width="6.109375" style="661" customWidth="1"/>
    <col min="13587" max="13587" width="4.5546875" style="661" customWidth="1"/>
    <col min="13588" max="13588" width="5.21875" style="661" customWidth="1"/>
    <col min="13589" max="13589" width="4.33203125" style="661" customWidth="1"/>
    <col min="13590" max="13590" width="5.44140625" style="661" customWidth="1"/>
    <col min="13591" max="13591" width="5.21875" style="661" customWidth="1"/>
    <col min="13592" max="13593" width="5.44140625" style="661" customWidth="1"/>
    <col min="13594" max="13594" width="4.44140625" style="661" customWidth="1"/>
    <col min="13595" max="13595" width="5.109375" style="661" customWidth="1"/>
    <col min="13596" max="13597" width="5.5546875" style="661" customWidth="1"/>
    <col min="13598" max="13603" width="2.88671875" style="661" customWidth="1"/>
    <col min="13604" max="13604" width="2.6640625" style="661" customWidth="1"/>
    <col min="13605" max="13824" width="9.6640625" style="661" hidden="1"/>
    <col min="13825" max="13825" width="13.21875" style="661" customWidth="1"/>
    <col min="13826" max="13826" width="4.33203125" style="661" customWidth="1"/>
    <col min="13827" max="13831" width="5.21875" style="661" customWidth="1"/>
    <col min="13832" max="13832" width="6.5546875" style="661" customWidth="1"/>
    <col min="13833" max="13835" width="4.5546875" style="661" customWidth="1"/>
    <col min="13836" max="13837" width="6.21875" style="661" customWidth="1"/>
    <col min="13838" max="13839" width="5.6640625" style="661" customWidth="1"/>
    <col min="13840" max="13840" width="13.21875" style="661" customWidth="1"/>
    <col min="13841" max="13841" width="4.33203125" style="661" customWidth="1"/>
    <col min="13842" max="13842" width="6.109375" style="661" customWidth="1"/>
    <col min="13843" max="13843" width="4.5546875" style="661" customWidth="1"/>
    <col min="13844" max="13844" width="5.21875" style="661" customWidth="1"/>
    <col min="13845" max="13845" width="4.33203125" style="661" customWidth="1"/>
    <col min="13846" max="13846" width="5.44140625" style="661" customWidth="1"/>
    <col min="13847" max="13847" width="5.21875" style="661" customWidth="1"/>
    <col min="13848" max="13849" width="5.44140625" style="661" customWidth="1"/>
    <col min="13850" max="13850" width="4.44140625" style="661" customWidth="1"/>
    <col min="13851" max="13851" width="5.109375" style="661" customWidth="1"/>
    <col min="13852" max="13853" width="5.5546875" style="661" customWidth="1"/>
    <col min="13854" max="13859" width="2.88671875" style="661" customWidth="1"/>
    <col min="13860" max="13860" width="2.6640625" style="661" customWidth="1"/>
    <col min="13861" max="14080" width="9.6640625" style="661" hidden="1"/>
    <col min="14081" max="14081" width="13.21875" style="661" customWidth="1"/>
    <col min="14082" max="14082" width="4.33203125" style="661" customWidth="1"/>
    <col min="14083" max="14087" width="5.21875" style="661" customWidth="1"/>
    <col min="14088" max="14088" width="6.5546875" style="661" customWidth="1"/>
    <col min="14089" max="14091" width="4.5546875" style="661" customWidth="1"/>
    <col min="14092" max="14093" width="6.21875" style="661" customWidth="1"/>
    <col min="14094" max="14095" width="5.6640625" style="661" customWidth="1"/>
    <col min="14096" max="14096" width="13.21875" style="661" customWidth="1"/>
    <col min="14097" max="14097" width="4.33203125" style="661" customWidth="1"/>
    <col min="14098" max="14098" width="6.109375" style="661" customWidth="1"/>
    <col min="14099" max="14099" width="4.5546875" style="661" customWidth="1"/>
    <col min="14100" max="14100" width="5.21875" style="661" customWidth="1"/>
    <col min="14101" max="14101" width="4.33203125" style="661" customWidth="1"/>
    <col min="14102" max="14102" width="5.44140625" style="661" customWidth="1"/>
    <col min="14103" max="14103" width="5.21875" style="661" customWidth="1"/>
    <col min="14104" max="14105" width="5.44140625" style="661" customWidth="1"/>
    <col min="14106" max="14106" width="4.44140625" style="661" customWidth="1"/>
    <col min="14107" max="14107" width="5.109375" style="661" customWidth="1"/>
    <col min="14108" max="14109" width="5.5546875" style="661" customWidth="1"/>
    <col min="14110" max="14115" width="2.88671875" style="661" customWidth="1"/>
    <col min="14116" max="14116" width="2.6640625" style="661" customWidth="1"/>
    <col min="14117" max="14336" width="9.6640625" style="661" hidden="1"/>
    <col min="14337" max="14337" width="13.21875" style="661" customWidth="1"/>
    <col min="14338" max="14338" width="4.33203125" style="661" customWidth="1"/>
    <col min="14339" max="14343" width="5.21875" style="661" customWidth="1"/>
    <col min="14344" max="14344" width="6.5546875" style="661" customWidth="1"/>
    <col min="14345" max="14347" width="4.5546875" style="661" customWidth="1"/>
    <col min="14348" max="14349" width="6.21875" style="661" customWidth="1"/>
    <col min="14350" max="14351" width="5.6640625" style="661" customWidth="1"/>
    <col min="14352" max="14352" width="13.21875" style="661" customWidth="1"/>
    <col min="14353" max="14353" width="4.33203125" style="661" customWidth="1"/>
    <col min="14354" max="14354" width="6.109375" style="661" customWidth="1"/>
    <col min="14355" max="14355" width="4.5546875" style="661" customWidth="1"/>
    <col min="14356" max="14356" width="5.21875" style="661" customWidth="1"/>
    <col min="14357" max="14357" width="4.33203125" style="661" customWidth="1"/>
    <col min="14358" max="14358" width="5.44140625" style="661" customWidth="1"/>
    <col min="14359" max="14359" width="5.21875" style="661" customWidth="1"/>
    <col min="14360" max="14361" width="5.44140625" style="661" customWidth="1"/>
    <col min="14362" max="14362" width="4.44140625" style="661" customWidth="1"/>
    <col min="14363" max="14363" width="5.109375" style="661" customWidth="1"/>
    <col min="14364" max="14365" width="5.5546875" style="661" customWidth="1"/>
    <col min="14366" max="14371" width="2.88671875" style="661" customWidth="1"/>
    <col min="14372" max="14372" width="2.6640625" style="661" customWidth="1"/>
    <col min="14373" max="14592" width="9.6640625" style="661" hidden="1"/>
    <col min="14593" max="14593" width="13.21875" style="661" customWidth="1"/>
    <col min="14594" max="14594" width="4.33203125" style="661" customWidth="1"/>
    <col min="14595" max="14599" width="5.21875" style="661" customWidth="1"/>
    <col min="14600" max="14600" width="6.5546875" style="661" customWidth="1"/>
    <col min="14601" max="14603" width="4.5546875" style="661" customWidth="1"/>
    <col min="14604" max="14605" width="6.21875" style="661" customWidth="1"/>
    <col min="14606" max="14607" width="5.6640625" style="661" customWidth="1"/>
    <col min="14608" max="14608" width="13.21875" style="661" customWidth="1"/>
    <col min="14609" max="14609" width="4.33203125" style="661" customWidth="1"/>
    <col min="14610" max="14610" width="6.109375" style="661" customWidth="1"/>
    <col min="14611" max="14611" width="4.5546875" style="661" customWidth="1"/>
    <col min="14612" max="14612" width="5.21875" style="661" customWidth="1"/>
    <col min="14613" max="14613" width="4.33203125" style="661" customWidth="1"/>
    <col min="14614" max="14614" width="5.44140625" style="661" customWidth="1"/>
    <col min="14615" max="14615" width="5.21875" style="661" customWidth="1"/>
    <col min="14616" max="14617" width="5.44140625" style="661" customWidth="1"/>
    <col min="14618" max="14618" width="4.44140625" style="661" customWidth="1"/>
    <col min="14619" max="14619" width="5.109375" style="661" customWidth="1"/>
    <col min="14620" max="14621" width="5.5546875" style="661" customWidth="1"/>
    <col min="14622" max="14627" width="2.88671875" style="661" customWidth="1"/>
    <col min="14628" max="14628" width="2.6640625" style="661" customWidth="1"/>
    <col min="14629" max="14848" width="9.6640625" style="661" hidden="1"/>
    <col min="14849" max="14849" width="13.21875" style="661" customWidth="1"/>
    <col min="14850" max="14850" width="4.33203125" style="661" customWidth="1"/>
    <col min="14851" max="14855" width="5.21875" style="661" customWidth="1"/>
    <col min="14856" max="14856" width="6.5546875" style="661" customWidth="1"/>
    <col min="14857" max="14859" width="4.5546875" style="661" customWidth="1"/>
    <col min="14860" max="14861" width="6.21875" style="661" customWidth="1"/>
    <col min="14862" max="14863" width="5.6640625" style="661" customWidth="1"/>
    <col min="14864" max="14864" width="13.21875" style="661" customWidth="1"/>
    <col min="14865" max="14865" width="4.33203125" style="661" customWidth="1"/>
    <col min="14866" max="14866" width="6.109375" style="661" customWidth="1"/>
    <col min="14867" max="14867" width="4.5546875" style="661" customWidth="1"/>
    <col min="14868" max="14868" width="5.21875" style="661" customWidth="1"/>
    <col min="14869" max="14869" width="4.33203125" style="661" customWidth="1"/>
    <col min="14870" max="14870" width="5.44140625" style="661" customWidth="1"/>
    <col min="14871" max="14871" width="5.21875" style="661" customWidth="1"/>
    <col min="14872" max="14873" width="5.44140625" style="661" customWidth="1"/>
    <col min="14874" max="14874" width="4.44140625" style="661" customWidth="1"/>
    <col min="14875" max="14875" width="5.109375" style="661" customWidth="1"/>
    <col min="14876" max="14877" width="5.5546875" style="661" customWidth="1"/>
    <col min="14878" max="14883" width="2.88671875" style="661" customWidth="1"/>
    <col min="14884" max="14884" width="2.6640625" style="661" customWidth="1"/>
    <col min="14885" max="15104" width="9.6640625" style="661" hidden="1"/>
    <col min="15105" max="15105" width="13.21875" style="661" customWidth="1"/>
    <col min="15106" max="15106" width="4.33203125" style="661" customWidth="1"/>
    <col min="15107" max="15111" width="5.21875" style="661" customWidth="1"/>
    <col min="15112" max="15112" width="6.5546875" style="661" customWidth="1"/>
    <col min="15113" max="15115" width="4.5546875" style="661" customWidth="1"/>
    <col min="15116" max="15117" width="6.21875" style="661" customWidth="1"/>
    <col min="15118" max="15119" width="5.6640625" style="661" customWidth="1"/>
    <col min="15120" max="15120" width="13.21875" style="661" customWidth="1"/>
    <col min="15121" max="15121" width="4.33203125" style="661" customWidth="1"/>
    <col min="15122" max="15122" width="6.109375" style="661" customWidth="1"/>
    <col min="15123" max="15123" width="4.5546875" style="661" customWidth="1"/>
    <col min="15124" max="15124" width="5.21875" style="661" customWidth="1"/>
    <col min="15125" max="15125" width="4.33203125" style="661" customWidth="1"/>
    <col min="15126" max="15126" width="5.44140625" style="661" customWidth="1"/>
    <col min="15127" max="15127" width="5.21875" style="661" customWidth="1"/>
    <col min="15128" max="15129" width="5.44140625" style="661" customWidth="1"/>
    <col min="15130" max="15130" width="4.44140625" style="661" customWidth="1"/>
    <col min="15131" max="15131" width="5.109375" style="661" customWidth="1"/>
    <col min="15132" max="15133" width="5.5546875" style="661" customWidth="1"/>
    <col min="15134" max="15139" width="2.88671875" style="661" customWidth="1"/>
    <col min="15140" max="15140" width="2.6640625" style="661" customWidth="1"/>
    <col min="15141" max="15360" width="9.6640625" style="661" hidden="1"/>
    <col min="15361" max="15361" width="13.21875" style="661" customWidth="1"/>
    <col min="15362" max="15362" width="4.33203125" style="661" customWidth="1"/>
    <col min="15363" max="15367" width="5.21875" style="661" customWidth="1"/>
    <col min="15368" max="15368" width="6.5546875" style="661" customWidth="1"/>
    <col min="15369" max="15371" width="4.5546875" style="661" customWidth="1"/>
    <col min="15372" max="15373" width="6.21875" style="661" customWidth="1"/>
    <col min="15374" max="15375" width="5.6640625" style="661" customWidth="1"/>
    <col min="15376" max="15376" width="13.21875" style="661" customWidth="1"/>
    <col min="15377" max="15377" width="4.33203125" style="661" customWidth="1"/>
    <col min="15378" max="15378" width="6.109375" style="661" customWidth="1"/>
    <col min="15379" max="15379" width="4.5546875" style="661" customWidth="1"/>
    <col min="15380" max="15380" width="5.21875" style="661" customWidth="1"/>
    <col min="15381" max="15381" width="4.33203125" style="661" customWidth="1"/>
    <col min="15382" max="15382" width="5.44140625" style="661" customWidth="1"/>
    <col min="15383" max="15383" width="5.21875" style="661" customWidth="1"/>
    <col min="15384" max="15385" width="5.44140625" style="661" customWidth="1"/>
    <col min="15386" max="15386" width="4.44140625" style="661" customWidth="1"/>
    <col min="15387" max="15387" width="5.109375" style="661" customWidth="1"/>
    <col min="15388" max="15389" width="5.5546875" style="661" customWidth="1"/>
    <col min="15390" max="15395" width="2.88671875" style="661" customWidth="1"/>
    <col min="15396" max="15396" width="2.6640625" style="661" customWidth="1"/>
    <col min="15397" max="15616" width="9.6640625" style="661" hidden="1"/>
    <col min="15617" max="15617" width="13.21875" style="661" customWidth="1"/>
    <col min="15618" max="15618" width="4.33203125" style="661" customWidth="1"/>
    <col min="15619" max="15623" width="5.21875" style="661" customWidth="1"/>
    <col min="15624" max="15624" width="6.5546875" style="661" customWidth="1"/>
    <col min="15625" max="15627" width="4.5546875" style="661" customWidth="1"/>
    <col min="15628" max="15629" width="6.21875" style="661" customWidth="1"/>
    <col min="15630" max="15631" width="5.6640625" style="661" customWidth="1"/>
    <col min="15632" max="15632" width="13.21875" style="661" customWidth="1"/>
    <col min="15633" max="15633" width="4.33203125" style="661" customWidth="1"/>
    <col min="15634" max="15634" width="6.109375" style="661" customWidth="1"/>
    <col min="15635" max="15635" width="4.5546875" style="661" customWidth="1"/>
    <col min="15636" max="15636" width="5.21875" style="661" customWidth="1"/>
    <col min="15637" max="15637" width="4.33203125" style="661" customWidth="1"/>
    <col min="15638" max="15638" width="5.44140625" style="661" customWidth="1"/>
    <col min="15639" max="15639" width="5.21875" style="661" customWidth="1"/>
    <col min="15640" max="15641" width="5.44140625" style="661" customWidth="1"/>
    <col min="15642" max="15642" width="4.44140625" style="661" customWidth="1"/>
    <col min="15643" max="15643" width="5.109375" style="661" customWidth="1"/>
    <col min="15644" max="15645" width="5.5546875" style="661" customWidth="1"/>
    <col min="15646" max="15651" width="2.88671875" style="661" customWidth="1"/>
    <col min="15652" max="15652" width="2.6640625" style="661" customWidth="1"/>
    <col min="15653" max="15872" width="9.6640625" style="661" hidden="1"/>
    <col min="15873" max="15873" width="13.21875" style="661" customWidth="1"/>
    <col min="15874" max="15874" width="4.33203125" style="661" customWidth="1"/>
    <col min="15875" max="15879" width="5.21875" style="661" customWidth="1"/>
    <col min="15880" max="15880" width="6.5546875" style="661" customWidth="1"/>
    <col min="15881" max="15883" width="4.5546875" style="661" customWidth="1"/>
    <col min="15884" max="15885" width="6.21875" style="661" customWidth="1"/>
    <col min="15886" max="15887" width="5.6640625" style="661" customWidth="1"/>
    <col min="15888" max="15888" width="13.21875" style="661" customWidth="1"/>
    <col min="15889" max="15889" width="4.33203125" style="661" customWidth="1"/>
    <col min="15890" max="15890" width="6.109375" style="661" customWidth="1"/>
    <col min="15891" max="15891" width="4.5546875" style="661" customWidth="1"/>
    <col min="15892" max="15892" width="5.21875" style="661" customWidth="1"/>
    <col min="15893" max="15893" width="4.33203125" style="661" customWidth="1"/>
    <col min="15894" max="15894" width="5.44140625" style="661" customWidth="1"/>
    <col min="15895" max="15895" width="5.21875" style="661" customWidth="1"/>
    <col min="15896" max="15897" width="5.44140625" style="661" customWidth="1"/>
    <col min="15898" max="15898" width="4.44140625" style="661" customWidth="1"/>
    <col min="15899" max="15899" width="5.109375" style="661" customWidth="1"/>
    <col min="15900" max="15901" width="5.5546875" style="661" customWidth="1"/>
    <col min="15902" max="15907" width="2.88671875" style="661" customWidth="1"/>
    <col min="15908" max="15908" width="2.6640625" style="661" customWidth="1"/>
    <col min="15909" max="16128" width="9.6640625" style="661" hidden="1"/>
    <col min="16129" max="16129" width="13.21875" style="661" customWidth="1"/>
    <col min="16130" max="16130" width="4.33203125" style="661" customWidth="1"/>
    <col min="16131" max="16135" width="5.21875" style="661" customWidth="1"/>
    <col min="16136" max="16136" width="6.5546875" style="661" customWidth="1"/>
    <col min="16137" max="16139" width="4.5546875" style="661" customWidth="1"/>
    <col min="16140" max="16141" width="6.21875" style="661" customWidth="1"/>
    <col min="16142" max="16143" width="5.6640625" style="661" customWidth="1"/>
    <col min="16144" max="16144" width="13.21875" style="661" customWidth="1"/>
    <col min="16145" max="16145" width="4.33203125" style="661" customWidth="1"/>
    <col min="16146" max="16146" width="6.109375" style="661" customWidth="1"/>
    <col min="16147" max="16147" width="4.5546875" style="661" customWidth="1"/>
    <col min="16148" max="16148" width="5.21875" style="661" customWidth="1"/>
    <col min="16149" max="16149" width="4.33203125" style="661" customWidth="1"/>
    <col min="16150" max="16150" width="5.44140625" style="661" customWidth="1"/>
    <col min="16151" max="16151" width="5.21875" style="661" customWidth="1"/>
    <col min="16152" max="16153" width="5.44140625" style="661" customWidth="1"/>
    <col min="16154" max="16154" width="4.44140625" style="661" customWidth="1"/>
    <col min="16155" max="16155" width="5.109375" style="661" customWidth="1"/>
    <col min="16156" max="16157" width="5.5546875" style="661" customWidth="1"/>
    <col min="16158" max="16163" width="2.88671875" style="661" customWidth="1"/>
    <col min="16164" max="16164" width="2.6640625" style="661" customWidth="1"/>
    <col min="16165" max="16384" width="9.6640625" style="661" hidden="1"/>
  </cols>
  <sheetData>
    <row r="1" spans="1:36" s="601" customFormat="1" ht="14.1" customHeight="1">
      <c r="A1" s="600"/>
      <c r="G1" s="602"/>
      <c r="L1" s="603"/>
      <c r="N1" s="604"/>
      <c r="P1" s="600"/>
      <c r="Z1" s="604"/>
      <c r="AB1" s="605"/>
      <c r="AC1" s="605"/>
      <c r="AD1" s="605"/>
      <c r="AE1" s="605"/>
      <c r="AF1" s="605"/>
      <c r="AG1" s="605"/>
      <c r="AH1" s="605"/>
      <c r="AI1" s="605"/>
    </row>
    <row r="2" spans="1:36" s="613" customFormat="1" ht="18.75" customHeight="1">
      <c r="A2" s="606" t="s">
        <v>1061</v>
      </c>
      <c r="B2" s="607"/>
      <c r="C2" s="607"/>
      <c r="D2" s="607"/>
      <c r="E2" s="607"/>
      <c r="F2" s="608"/>
      <c r="G2" s="607"/>
      <c r="H2" s="608"/>
      <c r="I2" s="607"/>
      <c r="J2" s="607"/>
      <c r="K2" s="609"/>
      <c r="L2" s="610"/>
      <c r="M2" s="607"/>
      <c r="N2" s="611"/>
      <c r="O2" s="607"/>
      <c r="P2" s="607"/>
      <c r="Q2" s="607"/>
      <c r="R2" s="607"/>
      <c r="S2" s="607"/>
      <c r="T2" s="607"/>
      <c r="U2" s="607"/>
      <c r="V2" s="607"/>
      <c r="W2" s="607"/>
      <c r="X2" s="607"/>
      <c r="Y2" s="607"/>
      <c r="Z2" s="611"/>
      <c r="AA2" s="607"/>
      <c r="AB2" s="612"/>
      <c r="AC2" s="612"/>
      <c r="AD2" s="612"/>
      <c r="AE2" s="612"/>
      <c r="AF2" s="612"/>
      <c r="AG2" s="612"/>
      <c r="AH2" s="612"/>
      <c r="AI2" s="612"/>
      <c r="AJ2" s="607"/>
    </row>
    <row r="3" spans="1:36" s="613" customFormat="1" ht="18.75" customHeight="1">
      <c r="A3" s="606" t="s">
        <v>1062</v>
      </c>
      <c r="B3" s="607"/>
      <c r="C3" s="607"/>
      <c r="D3" s="607"/>
      <c r="E3" s="607"/>
      <c r="F3" s="608"/>
      <c r="G3" s="607"/>
      <c r="H3" s="608"/>
      <c r="I3" s="607"/>
      <c r="J3" s="607"/>
      <c r="K3" s="609"/>
      <c r="L3" s="610"/>
      <c r="M3" s="607"/>
      <c r="N3" s="611"/>
      <c r="O3" s="607"/>
      <c r="P3" s="607"/>
      <c r="Q3" s="607"/>
      <c r="R3" s="607"/>
      <c r="S3" s="607"/>
      <c r="T3" s="607"/>
      <c r="U3" s="607"/>
      <c r="V3" s="607"/>
      <c r="W3" s="607"/>
      <c r="X3" s="607"/>
      <c r="Y3" s="607"/>
      <c r="Z3" s="611"/>
      <c r="AA3" s="607"/>
      <c r="AB3" s="612"/>
      <c r="AC3" s="612"/>
      <c r="AD3" s="612"/>
      <c r="AE3" s="612"/>
      <c r="AF3" s="612"/>
      <c r="AG3" s="612"/>
      <c r="AH3" s="612"/>
      <c r="AI3" s="612"/>
      <c r="AJ3" s="607"/>
    </row>
    <row r="4" spans="1:36" s="613" customFormat="1" ht="18.75" customHeight="1">
      <c r="A4" s="609"/>
      <c r="B4" s="607"/>
      <c r="C4" s="607"/>
      <c r="D4" s="607"/>
      <c r="E4" s="607"/>
      <c r="F4" s="608"/>
      <c r="G4" s="607"/>
      <c r="H4" s="608"/>
      <c r="I4" s="607"/>
      <c r="J4" s="607"/>
      <c r="K4" s="609"/>
      <c r="L4" s="610"/>
      <c r="M4" s="607"/>
      <c r="N4" s="611"/>
      <c r="O4" s="607"/>
      <c r="P4" s="607"/>
      <c r="Q4" s="607"/>
      <c r="R4" s="607"/>
      <c r="S4" s="607"/>
      <c r="T4" s="607"/>
      <c r="U4" s="607"/>
      <c r="V4" s="607"/>
      <c r="W4" s="607"/>
      <c r="X4" s="607"/>
      <c r="Y4" s="607"/>
      <c r="Z4" s="611"/>
      <c r="AA4" s="607"/>
      <c r="AB4" s="612"/>
      <c r="AC4" s="612"/>
      <c r="AD4" s="612"/>
      <c r="AE4" s="612"/>
      <c r="AF4" s="612"/>
      <c r="AG4" s="612"/>
      <c r="AH4" s="612"/>
      <c r="AI4" s="612"/>
      <c r="AJ4" s="607"/>
    </row>
    <row r="5" spans="1:36" s="613" customFormat="1" ht="14.1" customHeight="1">
      <c r="A5" s="607" t="s">
        <v>1063</v>
      </c>
      <c r="B5" s="607"/>
      <c r="C5" s="607"/>
      <c r="D5" s="607"/>
      <c r="E5" s="607"/>
      <c r="F5" s="608"/>
      <c r="G5" s="607"/>
      <c r="H5" s="608"/>
      <c r="I5" s="607"/>
      <c r="J5" s="607"/>
      <c r="K5" s="607"/>
      <c r="L5" s="610"/>
      <c r="M5" s="607"/>
      <c r="N5" s="611"/>
      <c r="O5" s="607"/>
      <c r="P5" s="607"/>
      <c r="Q5" s="607"/>
      <c r="R5" s="607"/>
      <c r="S5" s="607"/>
      <c r="T5" s="607"/>
      <c r="U5" s="607"/>
      <c r="V5" s="607"/>
      <c r="W5" s="607"/>
      <c r="X5" s="607"/>
      <c r="Y5" s="607"/>
      <c r="Z5" s="611"/>
      <c r="AA5" s="607"/>
      <c r="AB5" s="612"/>
      <c r="AC5" s="612"/>
      <c r="AD5" s="612"/>
      <c r="AE5" s="612"/>
      <c r="AF5" s="612"/>
      <c r="AG5" s="612"/>
      <c r="AH5" s="612"/>
      <c r="AI5" s="612"/>
      <c r="AJ5" s="607"/>
    </row>
    <row r="6" spans="1:36" s="613" customFormat="1" ht="14.1" customHeight="1">
      <c r="A6" s="607" t="s">
        <v>1064</v>
      </c>
      <c r="B6" s="607"/>
      <c r="C6" s="607"/>
      <c r="D6" s="607"/>
      <c r="E6" s="607"/>
      <c r="F6" s="608"/>
      <c r="G6" s="607"/>
      <c r="H6" s="608"/>
      <c r="I6" s="607"/>
      <c r="J6" s="607"/>
      <c r="K6" s="607"/>
      <c r="L6" s="610"/>
      <c r="M6" s="607"/>
      <c r="N6" s="611"/>
      <c r="O6" s="607"/>
      <c r="P6" s="607"/>
      <c r="Q6" s="607"/>
      <c r="R6" s="607"/>
      <c r="S6" s="607"/>
      <c r="T6" s="607"/>
      <c r="U6" s="607"/>
      <c r="V6" s="607"/>
      <c r="W6" s="607"/>
      <c r="X6" s="607"/>
      <c r="Y6" s="607"/>
      <c r="Z6" s="611"/>
      <c r="AA6" s="607"/>
      <c r="AB6" s="612"/>
      <c r="AC6" s="612"/>
      <c r="AD6" s="612"/>
      <c r="AE6" s="612"/>
      <c r="AF6" s="612"/>
      <c r="AG6" s="612"/>
      <c r="AH6" s="612"/>
      <c r="AI6" s="612"/>
      <c r="AJ6" s="607"/>
    </row>
    <row r="7" spans="1:36" s="613" customFormat="1" ht="14.1" customHeight="1">
      <c r="A7" s="607" t="s">
        <v>1065</v>
      </c>
      <c r="B7" s="607"/>
      <c r="C7" s="607"/>
      <c r="D7" s="607"/>
      <c r="E7" s="607"/>
      <c r="F7" s="608"/>
      <c r="G7" s="607"/>
      <c r="H7" s="608"/>
      <c r="I7" s="607"/>
      <c r="J7" s="607"/>
      <c r="K7" s="607"/>
      <c r="L7" s="610"/>
      <c r="M7" s="607"/>
      <c r="N7" s="611"/>
      <c r="O7" s="607"/>
      <c r="P7" s="607"/>
      <c r="Q7" s="607"/>
      <c r="R7" s="607"/>
      <c r="S7" s="607"/>
      <c r="T7" s="607"/>
      <c r="U7" s="607"/>
      <c r="V7" s="607"/>
      <c r="W7" s="607"/>
      <c r="X7" s="607"/>
      <c r="Y7" s="607"/>
      <c r="Z7" s="611"/>
      <c r="AA7" s="607"/>
      <c r="AB7" s="612"/>
      <c r="AC7" s="612"/>
      <c r="AD7" s="612"/>
      <c r="AE7" s="612"/>
      <c r="AF7" s="612"/>
      <c r="AG7" s="612"/>
      <c r="AH7" s="612"/>
      <c r="AI7" s="612"/>
      <c r="AJ7" s="607"/>
    </row>
    <row r="8" spans="1:36" s="613" customFormat="1" ht="14.1" customHeight="1">
      <c r="A8" s="607" t="s">
        <v>1066</v>
      </c>
      <c r="B8" s="607"/>
      <c r="C8" s="607"/>
      <c r="D8" s="607"/>
      <c r="E8" s="607"/>
      <c r="F8" s="608"/>
      <c r="G8" s="607"/>
      <c r="H8" s="608"/>
      <c r="I8" s="607"/>
      <c r="J8" s="607"/>
      <c r="K8" s="607"/>
      <c r="L8" s="610"/>
      <c r="M8" s="607"/>
      <c r="N8" s="611"/>
      <c r="O8" s="607"/>
      <c r="P8" s="607"/>
      <c r="Q8" s="607"/>
      <c r="R8" s="607"/>
      <c r="S8" s="607"/>
      <c r="T8" s="607"/>
      <c r="U8" s="607"/>
      <c r="V8" s="607"/>
      <c r="W8" s="607"/>
      <c r="X8" s="607"/>
      <c r="Y8" s="607"/>
      <c r="Z8" s="611"/>
      <c r="AA8" s="607"/>
      <c r="AB8" s="612"/>
      <c r="AC8" s="612"/>
      <c r="AD8" s="612"/>
      <c r="AE8" s="612"/>
      <c r="AF8" s="612"/>
      <c r="AG8" s="612"/>
      <c r="AH8" s="612"/>
      <c r="AI8" s="612"/>
      <c r="AJ8" s="607"/>
    </row>
    <row r="9" spans="1:36" s="613" customFormat="1" ht="14.1" customHeight="1" thickBot="1">
      <c r="A9" s="607"/>
      <c r="B9" s="607"/>
      <c r="C9" s="607"/>
      <c r="D9" s="607"/>
      <c r="E9" s="607"/>
      <c r="F9" s="607"/>
      <c r="G9" s="614"/>
      <c r="H9" s="607"/>
      <c r="I9" s="607"/>
      <c r="J9" s="607"/>
      <c r="K9" s="607"/>
      <c r="L9" s="610"/>
      <c r="M9" s="607"/>
      <c r="N9" s="611"/>
      <c r="O9" s="607"/>
      <c r="P9" s="607"/>
      <c r="Q9" s="607"/>
      <c r="R9" s="607"/>
      <c r="S9" s="607"/>
      <c r="T9" s="607"/>
      <c r="U9" s="607"/>
      <c r="V9" s="607"/>
      <c r="W9" s="607"/>
      <c r="X9" s="607"/>
      <c r="Y9" s="607"/>
      <c r="Z9" s="611"/>
      <c r="AA9" s="607"/>
      <c r="AB9" s="612"/>
      <c r="AC9" s="612"/>
      <c r="AD9" s="612"/>
      <c r="AE9" s="612"/>
      <c r="AF9" s="612"/>
      <c r="AG9" s="612"/>
      <c r="AH9" s="612"/>
      <c r="AI9" s="612"/>
      <c r="AJ9" s="607"/>
    </row>
    <row r="10" spans="1:36" s="613" customFormat="1" ht="14.1" customHeight="1" thickTop="1" thickBot="1">
      <c r="A10" s="615"/>
      <c r="B10" s="616"/>
      <c r="C10" s="615"/>
      <c r="D10" s="617"/>
      <c r="E10" s="617"/>
      <c r="F10" s="617"/>
      <c r="G10" s="618"/>
      <c r="H10" s="619" t="s">
        <v>1067</v>
      </c>
      <c r="I10" s="615"/>
      <c r="J10" s="617"/>
      <c r="K10" s="617"/>
      <c r="L10" s="620"/>
      <c r="M10" s="618"/>
      <c r="N10" s="615"/>
      <c r="O10" s="618"/>
      <c r="P10" s="615"/>
      <c r="Q10" s="618"/>
      <c r="R10" s="621"/>
      <c r="S10" s="622"/>
      <c r="T10" s="622"/>
      <c r="U10" s="622"/>
      <c r="V10" s="622"/>
      <c r="W10" s="622" t="s">
        <v>1068</v>
      </c>
      <c r="X10" s="622"/>
      <c r="Y10" s="622"/>
      <c r="Z10" s="622"/>
      <c r="AA10" s="622"/>
      <c r="AB10" s="623"/>
      <c r="AC10" s="624"/>
      <c r="AD10" s="625"/>
      <c r="AE10" s="626"/>
      <c r="AF10" s="626" t="s">
        <v>1069</v>
      </c>
      <c r="AG10" s="626"/>
      <c r="AH10" s="626"/>
      <c r="AI10" s="627"/>
      <c r="AJ10" s="628" t="s">
        <v>812</v>
      </c>
    </row>
    <row r="11" spans="1:36" s="613" customFormat="1" ht="14.1" customHeight="1" thickTop="1" thickBot="1">
      <c r="A11" s="629" t="s">
        <v>1067</v>
      </c>
      <c r="B11" s="630"/>
      <c r="C11" s="629"/>
      <c r="D11" s="631"/>
      <c r="E11" s="631" t="s">
        <v>1070</v>
      </c>
      <c r="F11" s="631"/>
      <c r="G11" s="632"/>
      <c r="H11" s="633" t="s">
        <v>1071</v>
      </c>
      <c r="I11" s="629"/>
      <c r="J11" s="631" t="s">
        <v>1072</v>
      </c>
      <c r="K11" s="631"/>
      <c r="L11" s="634"/>
      <c r="M11" s="632"/>
      <c r="N11" s="629" t="s">
        <v>1073</v>
      </c>
      <c r="O11" s="632"/>
      <c r="P11" s="629" t="s">
        <v>1067</v>
      </c>
      <c r="Q11" s="632"/>
      <c r="R11" s="621"/>
      <c r="S11" s="622" t="s">
        <v>1074</v>
      </c>
      <c r="T11" s="622"/>
      <c r="U11" s="622"/>
      <c r="V11" s="635"/>
      <c r="W11" s="621"/>
      <c r="X11" s="622" t="s">
        <v>1075</v>
      </c>
      <c r="Y11" s="622"/>
      <c r="Z11" s="635"/>
      <c r="AA11" s="636"/>
      <c r="AB11" s="637"/>
      <c r="AC11" s="638"/>
      <c r="AD11" s="639"/>
      <c r="AE11" s="640"/>
      <c r="AF11" s="640" t="s">
        <v>1076</v>
      </c>
      <c r="AG11" s="640"/>
      <c r="AH11" s="640"/>
      <c r="AI11" s="641"/>
      <c r="AJ11" s="628" t="s">
        <v>1077</v>
      </c>
    </row>
    <row r="12" spans="1:36" s="613" customFormat="1" ht="14.1" customHeight="1" thickTop="1">
      <c r="A12" s="642"/>
      <c r="B12" s="643" t="s">
        <v>0</v>
      </c>
      <c r="C12" s="644" t="s">
        <v>18</v>
      </c>
      <c r="D12" s="644" t="s">
        <v>17</v>
      </c>
      <c r="E12" s="644" t="s">
        <v>1078</v>
      </c>
      <c r="F12" s="644" t="s">
        <v>1079</v>
      </c>
      <c r="G12" s="643" t="s">
        <v>1080</v>
      </c>
      <c r="H12" s="643" t="s">
        <v>824</v>
      </c>
      <c r="I12" s="644" t="s">
        <v>1081</v>
      </c>
      <c r="J12" s="644" t="s">
        <v>365</v>
      </c>
      <c r="K12" s="644" t="s">
        <v>1082</v>
      </c>
      <c r="L12" s="645" t="s">
        <v>1083</v>
      </c>
      <c r="M12" s="643" t="s">
        <v>1084</v>
      </c>
      <c r="N12" s="644" t="s">
        <v>1085</v>
      </c>
      <c r="O12" s="644" t="s">
        <v>1086</v>
      </c>
      <c r="P12" s="642"/>
      <c r="Q12" s="643" t="s">
        <v>0</v>
      </c>
      <c r="R12" s="644" t="s">
        <v>1087</v>
      </c>
      <c r="S12" s="644" t="s">
        <v>1088</v>
      </c>
      <c r="T12" s="644" t="s">
        <v>1089</v>
      </c>
      <c r="U12" s="644" t="s">
        <v>1090</v>
      </c>
      <c r="V12" s="643" t="s">
        <v>1091</v>
      </c>
      <c r="W12" s="644" t="s">
        <v>1092</v>
      </c>
      <c r="X12" s="644" t="s">
        <v>1093</v>
      </c>
      <c r="Y12" s="644" t="s">
        <v>1094</v>
      </c>
      <c r="Z12" s="643" t="s">
        <v>1095</v>
      </c>
      <c r="AA12" s="644" t="s">
        <v>1096</v>
      </c>
      <c r="AB12" s="646" t="s">
        <v>1097</v>
      </c>
      <c r="AC12" s="647" t="s">
        <v>1098</v>
      </c>
      <c r="AD12" s="625"/>
      <c r="AE12" s="626"/>
      <c r="AF12" s="627"/>
      <c r="AG12" s="625"/>
      <c r="AH12" s="626"/>
      <c r="AI12" s="627"/>
      <c r="AJ12" s="628" t="s">
        <v>1099</v>
      </c>
    </row>
    <row r="13" spans="1:36" s="649" customFormat="1" ht="13.5" customHeight="1" thickBot="1">
      <c r="A13" s="642"/>
      <c r="B13" s="643" t="s">
        <v>23</v>
      </c>
      <c r="C13" s="644" t="s">
        <v>1100</v>
      </c>
      <c r="D13" s="644" t="s">
        <v>22</v>
      </c>
      <c r="E13" s="644" t="s">
        <v>22</v>
      </c>
      <c r="F13" s="644" t="s">
        <v>22</v>
      </c>
      <c r="G13" s="643" t="s">
        <v>22</v>
      </c>
      <c r="H13" s="643" t="s">
        <v>1101</v>
      </c>
      <c r="I13" s="644" t="s">
        <v>22</v>
      </c>
      <c r="J13" s="644" t="s">
        <v>22</v>
      </c>
      <c r="K13" s="644"/>
      <c r="L13" s="648" t="s">
        <v>22</v>
      </c>
      <c r="M13" s="643" t="s">
        <v>22</v>
      </c>
      <c r="N13" s="644" t="s">
        <v>1102</v>
      </c>
      <c r="O13" s="644" t="s">
        <v>1103</v>
      </c>
      <c r="P13" s="642"/>
      <c r="Q13" s="643" t="s">
        <v>23</v>
      </c>
      <c r="R13" s="644" t="s">
        <v>1104</v>
      </c>
      <c r="S13" s="644" t="s">
        <v>1105</v>
      </c>
      <c r="T13" s="644" t="s">
        <v>1105</v>
      </c>
      <c r="U13" s="644" t="s">
        <v>598</v>
      </c>
      <c r="V13" s="643" t="s">
        <v>1106</v>
      </c>
      <c r="W13" s="644" t="s">
        <v>1107</v>
      </c>
      <c r="X13" s="644" t="s">
        <v>1108</v>
      </c>
      <c r="Y13" s="644" t="s">
        <v>1108</v>
      </c>
      <c r="Z13" s="643" t="s">
        <v>598</v>
      </c>
      <c r="AA13" s="644" t="s">
        <v>22</v>
      </c>
      <c r="AB13" s="646" t="s">
        <v>1109</v>
      </c>
      <c r="AC13" s="647" t="s">
        <v>1110</v>
      </c>
      <c r="AD13" s="639"/>
      <c r="AE13" s="640" t="s">
        <v>1111</v>
      </c>
      <c r="AF13" s="641"/>
      <c r="AG13" s="639"/>
      <c r="AH13" s="640" t="s">
        <v>1112</v>
      </c>
      <c r="AI13" s="641"/>
      <c r="AJ13" s="628" t="s">
        <v>1113</v>
      </c>
    </row>
    <row r="14" spans="1:36" s="649" customFormat="1" ht="13.5" customHeight="1" thickTop="1" thickBot="1">
      <c r="A14" s="650"/>
      <c r="B14" s="651"/>
      <c r="C14" s="652"/>
      <c r="D14" s="652"/>
      <c r="E14" s="652"/>
      <c r="F14" s="652"/>
      <c r="G14" s="651"/>
      <c r="H14" s="651"/>
      <c r="I14" s="652"/>
      <c r="J14" s="652"/>
      <c r="K14" s="652"/>
      <c r="L14" s="653"/>
      <c r="M14" s="651"/>
      <c r="N14" s="652"/>
      <c r="O14" s="652"/>
      <c r="P14" s="650"/>
      <c r="Q14" s="651"/>
      <c r="R14" s="652"/>
      <c r="S14" s="652"/>
      <c r="T14" s="652"/>
      <c r="U14" s="652"/>
      <c r="V14" s="651"/>
      <c r="W14" s="652"/>
      <c r="X14" s="652"/>
      <c r="Y14" s="652"/>
      <c r="Z14" s="651"/>
      <c r="AA14" s="652"/>
      <c r="AB14" s="654"/>
      <c r="AC14" s="655"/>
      <c r="AD14" s="656">
        <v>235</v>
      </c>
      <c r="AE14" s="656">
        <v>355</v>
      </c>
      <c r="AF14" s="656">
        <v>460</v>
      </c>
      <c r="AG14" s="656">
        <v>235</v>
      </c>
      <c r="AH14" s="656">
        <v>355</v>
      </c>
      <c r="AI14" s="657">
        <v>460</v>
      </c>
      <c r="AJ14" s="628" t="s">
        <v>824</v>
      </c>
    </row>
    <row r="15" spans="1:36" s="649" customFormat="1" ht="13.5" customHeight="1" thickTop="1">
      <c r="A15" s="658"/>
      <c r="B15" s="658"/>
      <c r="C15" s="658"/>
      <c r="D15" s="658"/>
      <c r="E15" s="658"/>
      <c r="F15" s="658"/>
      <c r="G15" s="658"/>
      <c r="H15" s="658"/>
      <c r="I15" s="658"/>
      <c r="J15" s="658"/>
      <c r="K15" s="658"/>
      <c r="L15" s="659"/>
      <c r="M15" s="658"/>
      <c r="N15" s="658"/>
      <c r="O15" s="658"/>
      <c r="P15" s="658"/>
      <c r="Q15" s="658"/>
      <c r="R15" s="658"/>
      <c r="S15" s="658"/>
      <c r="T15" s="658"/>
      <c r="U15" s="658"/>
      <c r="V15" s="658"/>
      <c r="W15" s="658"/>
      <c r="X15" s="658"/>
      <c r="Y15" s="658"/>
      <c r="Z15" s="658"/>
      <c r="AA15" s="658"/>
      <c r="AB15" s="660"/>
      <c r="AC15" s="660"/>
      <c r="AD15" s="660"/>
      <c r="AE15" s="660"/>
      <c r="AF15" s="660"/>
      <c r="AG15" s="660"/>
      <c r="AH15" s="660"/>
      <c r="AI15" s="660"/>
      <c r="AJ15" s="661" t="s">
        <v>1114</v>
      </c>
    </row>
    <row r="16" spans="1:36" s="676" customFormat="1" ht="13.5" customHeight="1">
      <c r="A16" s="662" t="s">
        <v>1115</v>
      </c>
      <c r="B16" s="663">
        <v>12.2</v>
      </c>
      <c r="C16" s="664">
        <v>91</v>
      </c>
      <c r="D16" s="664">
        <v>100</v>
      </c>
      <c r="E16" s="665">
        <v>4.2</v>
      </c>
      <c r="F16" s="665">
        <v>5.5</v>
      </c>
      <c r="G16" s="666">
        <v>12</v>
      </c>
      <c r="H16" s="667">
        <v>15.6</v>
      </c>
      <c r="I16" s="664">
        <v>80</v>
      </c>
      <c r="J16" s="664">
        <v>56</v>
      </c>
      <c r="K16" s="664" t="s">
        <v>1116</v>
      </c>
      <c r="L16" s="668">
        <v>54</v>
      </c>
      <c r="M16" s="669">
        <v>58</v>
      </c>
      <c r="N16" s="670">
        <v>0.55300000000000005</v>
      </c>
      <c r="O16" s="670">
        <v>45.17</v>
      </c>
      <c r="P16" s="662" t="s">
        <v>1115</v>
      </c>
      <c r="Q16" s="663">
        <v>12.2</v>
      </c>
      <c r="R16" s="665">
        <v>236.5</v>
      </c>
      <c r="S16" s="671">
        <v>51.98</v>
      </c>
      <c r="T16" s="671">
        <v>58.36</v>
      </c>
      <c r="U16" s="671">
        <v>3.89</v>
      </c>
      <c r="V16" s="667">
        <v>6.15</v>
      </c>
      <c r="W16" s="671">
        <v>92.06</v>
      </c>
      <c r="X16" s="671">
        <v>18.41</v>
      </c>
      <c r="Y16" s="671">
        <v>28.44</v>
      </c>
      <c r="Z16" s="667">
        <v>2.4300000000000002</v>
      </c>
      <c r="AA16" s="671">
        <v>29.26</v>
      </c>
      <c r="AB16" s="671">
        <v>2.5099999999999998</v>
      </c>
      <c r="AC16" s="672">
        <v>1.68</v>
      </c>
      <c r="AD16" s="673">
        <v>1</v>
      </c>
      <c r="AE16" s="673">
        <v>3</v>
      </c>
      <c r="AF16" s="674" t="s">
        <v>600</v>
      </c>
      <c r="AG16" s="673">
        <v>1</v>
      </c>
      <c r="AH16" s="673">
        <v>3</v>
      </c>
      <c r="AI16" s="675" t="s">
        <v>600</v>
      </c>
      <c r="AJ16" s="664"/>
    </row>
    <row r="17" spans="1:36" s="649" customFormat="1" ht="13.5" customHeight="1">
      <c r="A17" s="677" t="s">
        <v>1117</v>
      </c>
      <c r="B17" s="678">
        <v>16.7</v>
      </c>
      <c r="C17" s="679">
        <v>96</v>
      </c>
      <c r="D17" s="679">
        <v>100</v>
      </c>
      <c r="E17" s="680">
        <v>5</v>
      </c>
      <c r="F17" s="680">
        <v>8</v>
      </c>
      <c r="G17" s="681">
        <v>12</v>
      </c>
      <c r="H17" s="682">
        <v>21.24</v>
      </c>
      <c r="I17" s="679">
        <v>80</v>
      </c>
      <c r="J17" s="679">
        <v>56</v>
      </c>
      <c r="K17" s="679" t="s">
        <v>1116</v>
      </c>
      <c r="L17" s="683">
        <v>54</v>
      </c>
      <c r="M17" s="684">
        <v>58</v>
      </c>
      <c r="N17" s="685">
        <v>0.56100000000000005</v>
      </c>
      <c r="O17" s="685">
        <v>33.68</v>
      </c>
      <c r="P17" s="677" t="s">
        <v>1117</v>
      </c>
      <c r="Q17" s="686">
        <v>16.7</v>
      </c>
      <c r="R17" s="680">
        <v>349.2</v>
      </c>
      <c r="S17" s="687">
        <v>72.760000000000005</v>
      </c>
      <c r="T17" s="687">
        <v>83.01</v>
      </c>
      <c r="U17" s="687">
        <v>4.0599999999999996</v>
      </c>
      <c r="V17" s="682">
        <v>7.56</v>
      </c>
      <c r="W17" s="680">
        <v>133.80000000000001</v>
      </c>
      <c r="X17" s="687">
        <v>26.76</v>
      </c>
      <c r="Y17" s="687">
        <v>41.14</v>
      </c>
      <c r="Z17" s="682">
        <v>2.5099999999999998</v>
      </c>
      <c r="AA17" s="687">
        <v>35.06</v>
      </c>
      <c r="AB17" s="687">
        <v>5.24</v>
      </c>
      <c r="AC17" s="688">
        <v>2.58</v>
      </c>
      <c r="AD17" s="689">
        <v>1</v>
      </c>
      <c r="AE17" s="689">
        <v>1</v>
      </c>
      <c r="AF17" s="690" t="s">
        <v>600</v>
      </c>
      <c r="AG17" s="689">
        <v>1</v>
      </c>
      <c r="AH17" s="689">
        <v>1</v>
      </c>
      <c r="AI17" s="691" t="s">
        <v>600</v>
      </c>
      <c r="AJ17" s="679"/>
    </row>
    <row r="18" spans="1:36" s="692" customFormat="1" ht="13.5" customHeight="1">
      <c r="A18" s="662" t="s">
        <v>1118</v>
      </c>
      <c r="B18" s="663">
        <v>20.399999999999999</v>
      </c>
      <c r="C18" s="664">
        <v>100</v>
      </c>
      <c r="D18" s="664">
        <v>100</v>
      </c>
      <c r="E18" s="665">
        <v>6</v>
      </c>
      <c r="F18" s="665">
        <v>10</v>
      </c>
      <c r="G18" s="666">
        <v>12</v>
      </c>
      <c r="H18" s="667">
        <v>26.04</v>
      </c>
      <c r="I18" s="664">
        <v>80</v>
      </c>
      <c r="J18" s="664">
        <v>56</v>
      </c>
      <c r="K18" s="664" t="s">
        <v>1116</v>
      </c>
      <c r="L18" s="668">
        <v>56</v>
      </c>
      <c r="M18" s="669">
        <v>58</v>
      </c>
      <c r="N18" s="670">
        <v>0.56699999999999995</v>
      </c>
      <c r="O18" s="670">
        <v>27.76</v>
      </c>
      <c r="P18" s="662" t="s">
        <v>1118</v>
      </c>
      <c r="Q18" s="663">
        <v>20.399999999999999</v>
      </c>
      <c r="R18" s="665">
        <v>449.5</v>
      </c>
      <c r="S18" s="671">
        <v>89.91</v>
      </c>
      <c r="T18" s="671">
        <v>104.2</v>
      </c>
      <c r="U18" s="671">
        <v>4.16</v>
      </c>
      <c r="V18" s="667">
        <v>9.0399999999999991</v>
      </c>
      <c r="W18" s="665">
        <v>167.3</v>
      </c>
      <c r="X18" s="671">
        <v>33.450000000000003</v>
      </c>
      <c r="Y18" s="671">
        <v>51.42</v>
      </c>
      <c r="Z18" s="667">
        <v>2.5299999999999998</v>
      </c>
      <c r="AA18" s="671">
        <v>40.06</v>
      </c>
      <c r="AB18" s="671">
        <v>9.25</v>
      </c>
      <c r="AC18" s="672">
        <v>3.38</v>
      </c>
      <c r="AD18" s="673">
        <v>1</v>
      </c>
      <c r="AE18" s="673">
        <v>1</v>
      </c>
      <c r="AF18" s="674" t="s">
        <v>600</v>
      </c>
      <c r="AG18" s="673">
        <v>1</v>
      </c>
      <c r="AH18" s="673">
        <v>1</v>
      </c>
      <c r="AI18" s="675" t="s">
        <v>600</v>
      </c>
      <c r="AJ18" s="664"/>
    </row>
    <row r="19" spans="1:36" s="628" customFormat="1" ht="13.5" customHeight="1">
      <c r="A19" s="677" t="s">
        <v>1119</v>
      </c>
      <c r="B19" s="678">
        <v>41.8</v>
      </c>
      <c r="C19" s="679">
        <v>120</v>
      </c>
      <c r="D19" s="679">
        <v>106</v>
      </c>
      <c r="E19" s="680">
        <v>12</v>
      </c>
      <c r="F19" s="680">
        <v>20</v>
      </c>
      <c r="G19" s="681">
        <v>12</v>
      </c>
      <c r="H19" s="682">
        <v>53.24</v>
      </c>
      <c r="I19" s="679">
        <v>80</v>
      </c>
      <c r="J19" s="679">
        <v>56</v>
      </c>
      <c r="K19" s="679" t="s">
        <v>1116</v>
      </c>
      <c r="L19" s="683">
        <v>62</v>
      </c>
      <c r="M19" s="684">
        <v>64</v>
      </c>
      <c r="N19" s="685">
        <v>0.61899999999999999</v>
      </c>
      <c r="O19" s="685">
        <v>14.82</v>
      </c>
      <c r="P19" s="677" t="s">
        <v>1119</v>
      </c>
      <c r="Q19" s="686">
        <v>41.8</v>
      </c>
      <c r="R19" s="680">
        <v>1143</v>
      </c>
      <c r="S19" s="680">
        <v>190.4</v>
      </c>
      <c r="T19" s="687">
        <v>235.8</v>
      </c>
      <c r="U19" s="687">
        <v>4.63</v>
      </c>
      <c r="V19" s="682">
        <v>18.04</v>
      </c>
      <c r="W19" s="680">
        <v>399.2</v>
      </c>
      <c r="X19" s="687">
        <v>75.31</v>
      </c>
      <c r="Y19" s="687">
        <v>116.3</v>
      </c>
      <c r="Z19" s="682">
        <v>2.74</v>
      </c>
      <c r="AA19" s="687">
        <v>66.06</v>
      </c>
      <c r="AB19" s="687">
        <v>68.209999999999994</v>
      </c>
      <c r="AC19" s="688">
        <v>9.93</v>
      </c>
      <c r="AD19" s="689">
        <v>1</v>
      </c>
      <c r="AE19" s="689">
        <v>1</v>
      </c>
      <c r="AF19" s="690" t="s">
        <v>600</v>
      </c>
      <c r="AG19" s="689">
        <v>1</v>
      </c>
      <c r="AH19" s="689">
        <v>1</v>
      </c>
      <c r="AI19" s="691" t="s">
        <v>600</v>
      </c>
      <c r="AJ19" s="679"/>
    </row>
    <row r="20" spans="1:36" s="628" customFormat="1" ht="13.5" customHeight="1">
      <c r="A20" s="677"/>
      <c r="B20" s="678"/>
      <c r="C20" s="679"/>
      <c r="D20" s="679"/>
      <c r="E20" s="680"/>
      <c r="F20" s="680"/>
      <c r="G20" s="681"/>
      <c r="H20" s="682"/>
      <c r="I20" s="679"/>
      <c r="J20" s="679"/>
      <c r="K20" s="679"/>
      <c r="L20" s="683"/>
      <c r="M20" s="684"/>
      <c r="N20" s="685"/>
      <c r="O20" s="685"/>
      <c r="P20" s="677"/>
      <c r="Q20" s="686"/>
      <c r="R20" s="680"/>
      <c r="S20" s="687"/>
      <c r="T20" s="687"/>
      <c r="U20" s="687"/>
      <c r="V20" s="682"/>
      <c r="W20" s="680"/>
      <c r="X20" s="687"/>
      <c r="Y20" s="687"/>
      <c r="Z20" s="682"/>
      <c r="AA20" s="687"/>
      <c r="AB20" s="687"/>
      <c r="AC20" s="688"/>
      <c r="AD20" s="689"/>
      <c r="AE20" s="689"/>
      <c r="AF20" s="690"/>
      <c r="AG20" s="689"/>
      <c r="AH20" s="689"/>
      <c r="AI20" s="691"/>
      <c r="AJ20" s="679"/>
    </row>
    <row r="21" spans="1:36" s="692" customFormat="1" ht="13.5" customHeight="1">
      <c r="A21" s="662" t="s">
        <v>1120</v>
      </c>
      <c r="B21" s="663">
        <v>14.6</v>
      </c>
      <c r="C21" s="664">
        <v>109</v>
      </c>
      <c r="D21" s="664">
        <v>120</v>
      </c>
      <c r="E21" s="665">
        <v>4.2</v>
      </c>
      <c r="F21" s="665">
        <v>5.5</v>
      </c>
      <c r="G21" s="666">
        <v>12</v>
      </c>
      <c r="H21" s="667">
        <v>18.55</v>
      </c>
      <c r="I21" s="664">
        <v>98</v>
      </c>
      <c r="J21" s="664">
        <v>74</v>
      </c>
      <c r="K21" s="664" t="s">
        <v>1121</v>
      </c>
      <c r="L21" s="668">
        <v>58</v>
      </c>
      <c r="M21" s="669">
        <v>68</v>
      </c>
      <c r="N21" s="670">
        <v>0.66900000000000004</v>
      </c>
      <c r="O21" s="670">
        <v>45.94</v>
      </c>
      <c r="P21" s="662" t="s">
        <v>1120</v>
      </c>
      <c r="Q21" s="663">
        <v>14.6</v>
      </c>
      <c r="R21" s="665">
        <v>413.4</v>
      </c>
      <c r="S21" s="671">
        <v>75.849999999999994</v>
      </c>
      <c r="T21" s="671">
        <v>84.12</v>
      </c>
      <c r="U21" s="671">
        <v>4.72</v>
      </c>
      <c r="V21" s="667">
        <v>6.9</v>
      </c>
      <c r="W21" s="665">
        <v>158.80000000000001</v>
      </c>
      <c r="X21" s="671">
        <v>26.47</v>
      </c>
      <c r="Y21" s="671">
        <v>40.619999999999997</v>
      </c>
      <c r="Z21" s="667">
        <v>2.93</v>
      </c>
      <c r="AA21" s="671">
        <v>29.26</v>
      </c>
      <c r="AB21" s="671">
        <v>2.78</v>
      </c>
      <c r="AC21" s="672">
        <v>4.24</v>
      </c>
      <c r="AD21" s="673">
        <v>2</v>
      </c>
      <c r="AE21" s="673">
        <v>3</v>
      </c>
      <c r="AF21" s="674" t="s">
        <v>600</v>
      </c>
      <c r="AG21" s="673">
        <v>2</v>
      </c>
      <c r="AH21" s="673">
        <v>3</v>
      </c>
      <c r="AI21" s="675" t="s">
        <v>600</v>
      </c>
      <c r="AJ21" s="664"/>
    </row>
    <row r="22" spans="1:36" s="628" customFormat="1" ht="13.5" customHeight="1">
      <c r="A22" s="677" t="s">
        <v>1122</v>
      </c>
      <c r="B22" s="678">
        <v>19.899999999999999</v>
      </c>
      <c r="C22" s="679">
        <v>114</v>
      </c>
      <c r="D22" s="679">
        <v>120</v>
      </c>
      <c r="E22" s="680">
        <v>5</v>
      </c>
      <c r="F22" s="680">
        <v>8</v>
      </c>
      <c r="G22" s="681">
        <v>12</v>
      </c>
      <c r="H22" s="682">
        <v>25.34</v>
      </c>
      <c r="I22" s="679">
        <v>98</v>
      </c>
      <c r="J22" s="679">
        <v>74</v>
      </c>
      <c r="K22" s="679" t="s">
        <v>1121</v>
      </c>
      <c r="L22" s="683">
        <v>58</v>
      </c>
      <c r="M22" s="684">
        <v>68</v>
      </c>
      <c r="N22" s="685">
        <v>0.67700000000000005</v>
      </c>
      <c r="O22" s="685">
        <v>34.06</v>
      </c>
      <c r="P22" s="677" t="s">
        <v>1122</v>
      </c>
      <c r="Q22" s="686">
        <v>19.899999999999999</v>
      </c>
      <c r="R22" s="680">
        <v>606.20000000000005</v>
      </c>
      <c r="S22" s="680">
        <v>106.3</v>
      </c>
      <c r="T22" s="680">
        <v>119.5</v>
      </c>
      <c r="U22" s="687">
        <v>4.8899999999999997</v>
      </c>
      <c r="V22" s="682">
        <v>8.4600000000000009</v>
      </c>
      <c r="W22" s="680">
        <v>230.9</v>
      </c>
      <c r="X22" s="687">
        <v>38.479999999999997</v>
      </c>
      <c r="Y22" s="687">
        <v>58.85</v>
      </c>
      <c r="Z22" s="682">
        <v>3.02</v>
      </c>
      <c r="AA22" s="687">
        <v>35.06</v>
      </c>
      <c r="AB22" s="687">
        <v>5.99</v>
      </c>
      <c r="AC22" s="688">
        <v>6.47</v>
      </c>
      <c r="AD22" s="689">
        <v>1</v>
      </c>
      <c r="AE22" s="689">
        <v>1</v>
      </c>
      <c r="AF22" s="690" t="s">
        <v>600</v>
      </c>
      <c r="AG22" s="689">
        <v>1</v>
      </c>
      <c r="AH22" s="689">
        <v>1</v>
      </c>
      <c r="AI22" s="691" t="s">
        <v>600</v>
      </c>
      <c r="AJ22" s="679"/>
    </row>
    <row r="23" spans="1:36" s="692" customFormat="1" ht="13.5" customHeight="1">
      <c r="A23" s="662" t="s">
        <v>1123</v>
      </c>
      <c r="B23" s="663">
        <v>26.7</v>
      </c>
      <c r="C23" s="664">
        <v>120</v>
      </c>
      <c r="D23" s="664">
        <v>120</v>
      </c>
      <c r="E23" s="665">
        <v>6.5</v>
      </c>
      <c r="F23" s="665">
        <v>11</v>
      </c>
      <c r="G23" s="666">
        <v>12</v>
      </c>
      <c r="H23" s="667">
        <v>34.01</v>
      </c>
      <c r="I23" s="664">
        <v>98</v>
      </c>
      <c r="J23" s="664">
        <v>74</v>
      </c>
      <c r="K23" s="664" t="s">
        <v>1121</v>
      </c>
      <c r="L23" s="668">
        <v>60</v>
      </c>
      <c r="M23" s="669">
        <v>68</v>
      </c>
      <c r="N23" s="670">
        <v>0.68600000000000005</v>
      </c>
      <c r="O23" s="670">
        <v>25.71</v>
      </c>
      <c r="P23" s="662" t="s">
        <v>1123</v>
      </c>
      <c r="Q23" s="663">
        <v>26.7</v>
      </c>
      <c r="R23" s="665">
        <v>864.4</v>
      </c>
      <c r="S23" s="665">
        <v>144.1</v>
      </c>
      <c r="T23" s="665">
        <v>165.2</v>
      </c>
      <c r="U23" s="671">
        <v>5.04</v>
      </c>
      <c r="V23" s="667">
        <v>10.96</v>
      </c>
      <c r="W23" s="665">
        <v>317.5</v>
      </c>
      <c r="X23" s="671">
        <v>52.92</v>
      </c>
      <c r="Y23" s="671">
        <v>80.97</v>
      </c>
      <c r="Z23" s="667">
        <v>3.06</v>
      </c>
      <c r="AA23" s="671">
        <v>42.56</v>
      </c>
      <c r="AB23" s="671">
        <v>13.84</v>
      </c>
      <c r="AC23" s="672">
        <v>9.41</v>
      </c>
      <c r="AD23" s="673">
        <v>1</v>
      </c>
      <c r="AE23" s="673">
        <v>1</v>
      </c>
      <c r="AF23" s="674" t="s">
        <v>600</v>
      </c>
      <c r="AG23" s="673">
        <v>1</v>
      </c>
      <c r="AH23" s="673">
        <v>1</v>
      </c>
      <c r="AI23" s="675" t="s">
        <v>600</v>
      </c>
      <c r="AJ23" s="664"/>
    </row>
    <row r="24" spans="1:36" s="628" customFormat="1" ht="13.5" customHeight="1">
      <c r="A24" s="677" t="s">
        <v>1124</v>
      </c>
      <c r="B24" s="678">
        <v>52.1</v>
      </c>
      <c r="C24" s="679">
        <v>140</v>
      </c>
      <c r="D24" s="679">
        <v>126</v>
      </c>
      <c r="E24" s="680">
        <v>12.5</v>
      </c>
      <c r="F24" s="680">
        <v>21</v>
      </c>
      <c r="G24" s="681">
        <v>12</v>
      </c>
      <c r="H24" s="682">
        <v>66.41</v>
      </c>
      <c r="I24" s="679">
        <v>98</v>
      </c>
      <c r="J24" s="679">
        <v>74</v>
      </c>
      <c r="K24" s="679" t="s">
        <v>1121</v>
      </c>
      <c r="L24" s="683">
        <v>66</v>
      </c>
      <c r="M24" s="684">
        <v>74</v>
      </c>
      <c r="N24" s="685">
        <v>0.73799999999999999</v>
      </c>
      <c r="O24" s="685">
        <v>14.16</v>
      </c>
      <c r="P24" s="677" t="s">
        <v>1124</v>
      </c>
      <c r="Q24" s="686">
        <v>52.1</v>
      </c>
      <c r="R24" s="680">
        <v>2018</v>
      </c>
      <c r="S24" s="680">
        <v>288.2</v>
      </c>
      <c r="T24" s="680">
        <v>350.6</v>
      </c>
      <c r="U24" s="687">
        <v>5.51</v>
      </c>
      <c r="V24" s="682">
        <v>21.15</v>
      </c>
      <c r="W24" s="680">
        <v>702.8</v>
      </c>
      <c r="X24" s="687">
        <v>111.6</v>
      </c>
      <c r="Y24" s="687">
        <v>171.6</v>
      </c>
      <c r="Z24" s="682">
        <v>3.25</v>
      </c>
      <c r="AA24" s="687">
        <v>68.56</v>
      </c>
      <c r="AB24" s="687">
        <v>91.66</v>
      </c>
      <c r="AC24" s="688">
        <v>24.79</v>
      </c>
      <c r="AD24" s="689">
        <v>1</v>
      </c>
      <c r="AE24" s="689">
        <v>1</v>
      </c>
      <c r="AF24" s="690" t="s">
        <v>600</v>
      </c>
      <c r="AG24" s="689">
        <v>1</v>
      </c>
      <c r="AH24" s="689">
        <v>1</v>
      </c>
      <c r="AI24" s="691" t="s">
        <v>600</v>
      </c>
      <c r="AJ24" s="679"/>
    </row>
    <row r="25" spans="1:36" s="628" customFormat="1" ht="13.5" customHeight="1">
      <c r="A25" s="677"/>
      <c r="B25" s="678"/>
      <c r="C25" s="679"/>
      <c r="D25" s="679"/>
      <c r="E25" s="680"/>
      <c r="F25" s="680"/>
      <c r="G25" s="681"/>
      <c r="H25" s="682"/>
      <c r="I25" s="679"/>
      <c r="J25" s="679"/>
      <c r="K25" s="679"/>
      <c r="L25" s="683"/>
      <c r="M25" s="684"/>
      <c r="N25" s="685"/>
      <c r="O25" s="685"/>
      <c r="P25" s="677"/>
      <c r="Q25" s="686"/>
      <c r="R25" s="680"/>
      <c r="S25" s="680"/>
      <c r="T25" s="680"/>
      <c r="U25" s="687"/>
      <c r="V25" s="682"/>
      <c r="W25" s="680"/>
      <c r="X25" s="687"/>
      <c r="Y25" s="687"/>
      <c r="Z25" s="682"/>
      <c r="AA25" s="687"/>
      <c r="AB25" s="687"/>
      <c r="AC25" s="688"/>
      <c r="AD25" s="689"/>
      <c r="AE25" s="689"/>
      <c r="AF25" s="690"/>
      <c r="AG25" s="689"/>
      <c r="AH25" s="689"/>
      <c r="AI25" s="691"/>
      <c r="AJ25" s="679"/>
    </row>
    <row r="26" spans="1:36" s="692" customFormat="1" ht="13.5" customHeight="1">
      <c r="A26" s="662" t="s">
        <v>1125</v>
      </c>
      <c r="B26" s="663">
        <v>18.100000000000001</v>
      </c>
      <c r="C26" s="664">
        <v>128</v>
      </c>
      <c r="D26" s="664">
        <v>140</v>
      </c>
      <c r="E26" s="665">
        <v>4.3</v>
      </c>
      <c r="F26" s="665">
        <v>6</v>
      </c>
      <c r="G26" s="666">
        <v>12</v>
      </c>
      <c r="H26" s="667">
        <v>23.02</v>
      </c>
      <c r="I26" s="664">
        <v>116</v>
      </c>
      <c r="J26" s="664">
        <v>92</v>
      </c>
      <c r="K26" s="664" t="s">
        <v>1126</v>
      </c>
      <c r="L26" s="668">
        <v>64</v>
      </c>
      <c r="M26" s="669">
        <v>76</v>
      </c>
      <c r="N26" s="670">
        <v>0.78700000000000003</v>
      </c>
      <c r="O26" s="670">
        <v>43.53</v>
      </c>
      <c r="P26" s="662" t="s">
        <v>1125</v>
      </c>
      <c r="Q26" s="663">
        <v>18.100000000000001</v>
      </c>
      <c r="R26" s="665">
        <v>719.5</v>
      </c>
      <c r="S26" s="665">
        <v>112.4</v>
      </c>
      <c r="T26" s="665">
        <v>123.8</v>
      </c>
      <c r="U26" s="671">
        <v>5.59</v>
      </c>
      <c r="V26" s="667">
        <v>7.92</v>
      </c>
      <c r="W26" s="665">
        <v>274.8</v>
      </c>
      <c r="X26" s="671">
        <v>39.26</v>
      </c>
      <c r="Y26" s="671">
        <v>59.93</v>
      </c>
      <c r="Z26" s="667">
        <v>3.45</v>
      </c>
      <c r="AA26" s="671">
        <v>30.36</v>
      </c>
      <c r="AB26" s="671">
        <v>3.54</v>
      </c>
      <c r="AC26" s="672">
        <v>10.210000000000001</v>
      </c>
      <c r="AD26" s="673">
        <v>3</v>
      </c>
      <c r="AE26" s="673">
        <v>3</v>
      </c>
      <c r="AF26" s="674" t="s">
        <v>600</v>
      </c>
      <c r="AG26" s="673">
        <v>3</v>
      </c>
      <c r="AH26" s="673">
        <v>3</v>
      </c>
      <c r="AI26" s="675" t="s">
        <v>600</v>
      </c>
      <c r="AJ26" s="664"/>
    </row>
    <row r="27" spans="1:36" s="628" customFormat="1" ht="13.5" customHeight="1">
      <c r="A27" s="677" t="s">
        <v>1127</v>
      </c>
      <c r="B27" s="678">
        <v>24.7</v>
      </c>
      <c r="C27" s="679">
        <v>133</v>
      </c>
      <c r="D27" s="679">
        <v>140</v>
      </c>
      <c r="E27" s="680">
        <v>5.5</v>
      </c>
      <c r="F27" s="680">
        <v>8.5</v>
      </c>
      <c r="G27" s="681">
        <v>12</v>
      </c>
      <c r="H27" s="682">
        <v>31.42</v>
      </c>
      <c r="I27" s="679">
        <v>116</v>
      </c>
      <c r="J27" s="679">
        <v>92</v>
      </c>
      <c r="K27" s="679" t="s">
        <v>1126</v>
      </c>
      <c r="L27" s="683">
        <v>64</v>
      </c>
      <c r="M27" s="684">
        <v>76</v>
      </c>
      <c r="N27" s="685">
        <v>0.79400000000000004</v>
      </c>
      <c r="O27" s="685">
        <v>32.21</v>
      </c>
      <c r="P27" s="677" t="s">
        <v>1127</v>
      </c>
      <c r="Q27" s="686">
        <v>24.7</v>
      </c>
      <c r="R27" s="680">
        <v>1033</v>
      </c>
      <c r="S27" s="680">
        <v>155.4</v>
      </c>
      <c r="T27" s="680">
        <v>173.5</v>
      </c>
      <c r="U27" s="687">
        <v>5.73</v>
      </c>
      <c r="V27" s="682">
        <v>10.119999999999999</v>
      </c>
      <c r="W27" s="680">
        <v>389.3</v>
      </c>
      <c r="X27" s="687">
        <v>55.62</v>
      </c>
      <c r="Y27" s="687">
        <v>84.85</v>
      </c>
      <c r="Z27" s="682">
        <v>3.52</v>
      </c>
      <c r="AA27" s="687">
        <v>36.56</v>
      </c>
      <c r="AB27" s="687">
        <v>8.1300000000000008</v>
      </c>
      <c r="AC27" s="688">
        <v>15.06</v>
      </c>
      <c r="AD27" s="689">
        <v>1</v>
      </c>
      <c r="AE27" s="689">
        <v>2</v>
      </c>
      <c r="AF27" s="690" t="s">
        <v>600</v>
      </c>
      <c r="AG27" s="689">
        <v>1</v>
      </c>
      <c r="AH27" s="689">
        <v>2</v>
      </c>
      <c r="AI27" s="691" t="s">
        <v>600</v>
      </c>
      <c r="AJ27" s="679"/>
    </row>
    <row r="28" spans="1:36" s="692" customFormat="1" ht="13.5" customHeight="1">
      <c r="A28" s="662" t="s">
        <v>1128</v>
      </c>
      <c r="B28" s="663">
        <v>33.700000000000003</v>
      </c>
      <c r="C28" s="664">
        <v>140</v>
      </c>
      <c r="D28" s="664">
        <v>140</v>
      </c>
      <c r="E28" s="665">
        <v>7</v>
      </c>
      <c r="F28" s="665">
        <v>12</v>
      </c>
      <c r="G28" s="666">
        <v>12</v>
      </c>
      <c r="H28" s="667">
        <v>42.96</v>
      </c>
      <c r="I28" s="664">
        <v>116</v>
      </c>
      <c r="J28" s="664">
        <v>92</v>
      </c>
      <c r="K28" s="664" t="s">
        <v>1126</v>
      </c>
      <c r="L28" s="668">
        <v>66</v>
      </c>
      <c r="M28" s="669">
        <v>76</v>
      </c>
      <c r="N28" s="670">
        <v>0.80500000000000005</v>
      </c>
      <c r="O28" s="670">
        <v>23.88</v>
      </c>
      <c r="P28" s="662" t="s">
        <v>1128</v>
      </c>
      <c r="Q28" s="663">
        <v>33.700000000000003</v>
      </c>
      <c r="R28" s="665">
        <v>1509</v>
      </c>
      <c r="S28" s="665">
        <v>215.6</v>
      </c>
      <c r="T28" s="665">
        <v>245.4</v>
      </c>
      <c r="U28" s="671">
        <v>5.93</v>
      </c>
      <c r="V28" s="667">
        <v>13.08</v>
      </c>
      <c r="W28" s="665">
        <v>549.70000000000005</v>
      </c>
      <c r="X28" s="671">
        <v>78.52</v>
      </c>
      <c r="Y28" s="671">
        <v>119.8</v>
      </c>
      <c r="Z28" s="667">
        <v>3.58</v>
      </c>
      <c r="AA28" s="671">
        <v>45.06</v>
      </c>
      <c r="AB28" s="671">
        <v>20.059999999999999</v>
      </c>
      <c r="AC28" s="672">
        <v>22.48</v>
      </c>
      <c r="AD28" s="673">
        <v>1</v>
      </c>
      <c r="AE28" s="673">
        <v>1</v>
      </c>
      <c r="AF28" s="674" t="s">
        <v>600</v>
      </c>
      <c r="AG28" s="673">
        <v>1</v>
      </c>
      <c r="AH28" s="673">
        <v>1</v>
      </c>
      <c r="AI28" s="675" t="s">
        <v>600</v>
      </c>
      <c r="AJ28" s="664"/>
    </row>
    <row r="29" spans="1:36" s="628" customFormat="1" ht="13.5" customHeight="1">
      <c r="A29" s="677" t="s">
        <v>1129</v>
      </c>
      <c r="B29" s="678">
        <v>63.2</v>
      </c>
      <c r="C29" s="679">
        <v>160</v>
      </c>
      <c r="D29" s="679">
        <v>146</v>
      </c>
      <c r="E29" s="680">
        <v>13</v>
      </c>
      <c r="F29" s="680">
        <v>22</v>
      </c>
      <c r="G29" s="681">
        <v>12</v>
      </c>
      <c r="H29" s="682">
        <v>80.56</v>
      </c>
      <c r="I29" s="679">
        <v>116</v>
      </c>
      <c r="J29" s="679">
        <v>92</v>
      </c>
      <c r="K29" s="679" t="s">
        <v>1126</v>
      </c>
      <c r="L29" s="683">
        <v>72</v>
      </c>
      <c r="M29" s="684">
        <v>82</v>
      </c>
      <c r="N29" s="685">
        <v>0.85699999999999998</v>
      </c>
      <c r="O29" s="685">
        <v>13.56</v>
      </c>
      <c r="P29" s="677" t="s">
        <v>1129</v>
      </c>
      <c r="Q29" s="686">
        <v>63.2</v>
      </c>
      <c r="R29" s="680">
        <v>3291</v>
      </c>
      <c r="S29" s="680">
        <v>411.4</v>
      </c>
      <c r="T29" s="680">
        <v>493.8</v>
      </c>
      <c r="U29" s="687">
        <v>6.39</v>
      </c>
      <c r="V29" s="682">
        <v>24.46</v>
      </c>
      <c r="W29" s="680">
        <v>1144</v>
      </c>
      <c r="X29" s="687">
        <v>156.80000000000001</v>
      </c>
      <c r="Y29" s="687">
        <v>240.5</v>
      </c>
      <c r="Z29" s="682">
        <v>3.77</v>
      </c>
      <c r="AA29" s="687">
        <v>71.06</v>
      </c>
      <c r="AB29" s="687">
        <v>120</v>
      </c>
      <c r="AC29" s="688">
        <v>54.33</v>
      </c>
      <c r="AD29" s="689">
        <v>1</v>
      </c>
      <c r="AE29" s="689">
        <v>1</v>
      </c>
      <c r="AF29" s="690" t="s">
        <v>600</v>
      </c>
      <c r="AG29" s="689">
        <v>1</v>
      </c>
      <c r="AH29" s="689">
        <v>1</v>
      </c>
      <c r="AI29" s="691" t="s">
        <v>600</v>
      </c>
      <c r="AJ29" s="679"/>
    </row>
    <row r="30" spans="1:36" s="628" customFormat="1" ht="13.5" customHeight="1">
      <c r="A30" s="677"/>
      <c r="B30" s="678"/>
      <c r="C30" s="679"/>
      <c r="D30" s="679"/>
      <c r="E30" s="680"/>
      <c r="F30" s="680"/>
      <c r="G30" s="681"/>
      <c r="H30" s="682"/>
      <c r="I30" s="679"/>
      <c r="J30" s="679"/>
      <c r="K30" s="679"/>
      <c r="L30" s="683"/>
      <c r="M30" s="684"/>
      <c r="N30" s="685"/>
      <c r="O30" s="685"/>
      <c r="P30" s="677"/>
      <c r="Q30" s="686"/>
      <c r="R30" s="680"/>
      <c r="S30" s="680"/>
      <c r="T30" s="680"/>
      <c r="U30" s="687"/>
      <c r="V30" s="682"/>
      <c r="W30" s="680"/>
      <c r="X30" s="687"/>
      <c r="Y30" s="687"/>
      <c r="Z30" s="682"/>
      <c r="AA30" s="687"/>
      <c r="AB30" s="687"/>
      <c r="AC30" s="688"/>
      <c r="AD30" s="689"/>
      <c r="AE30" s="689"/>
      <c r="AF30" s="690"/>
      <c r="AG30" s="689"/>
      <c r="AH30" s="689"/>
      <c r="AI30" s="691"/>
      <c r="AJ30" s="679"/>
    </row>
    <row r="31" spans="1:36" s="692" customFormat="1" ht="13.5" customHeight="1">
      <c r="A31" s="662" t="s">
        <v>1130</v>
      </c>
      <c r="B31" s="663">
        <v>23.8</v>
      </c>
      <c r="C31" s="664">
        <v>148</v>
      </c>
      <c r="D31" s="664">
        <v>160</v>
      </c>
      <c r="E31" s="665">
        <v>4.5</v>
      </c>
      <c r="F31" s="665">
        <v>7</v>
      </c>
      <c r="G31" s="666">
        <v>15</v>
      </c>
      <c r="H31" s="667">
        <v>30.36</v>
      </c>
      <c r="I31" s="664">
        <v>134</v>
      </c>
      <c r="J31" s="664">
        <v>104</v>
      </c>
      <c r="K31" s="664" t="s">
        <v>1131</v>
      </c>
      <c r="L31" s="668">
        <v>76</v>
      </c>
      <c r="M31" s="669">
        <v>84</v>
      </c>
      <c r="N31" s="670">
        <v>0.90100000000000002</v>
      </c>
      <c r="O31" s="670">
        <v>37.81</v>
      </c>
      <c r="P31" s="662" t="s">
        <v>1130</v>
      </c>
      <c r="Q31" s="663">
        <v>23.8</v>
      </c>
      <c r="R31" s="665">
        <v>1283</v>
      </c>
      <c r="S31" s="665">
        <v>173.4</v>
      </c>
      <c r="T31" s="665">
        <v>190.4</v>
      </c>
      <c r="U31" s="671">
        <v>6.5</v>
      </c>
      <c r="V31" s="667">
        <v>10.38</v>
      </c>
      <c r="W31" s="665">
        <v>478.7</v>
      </c>
      <c r="X31" s="671">
        <v>59.84</v>
      </c>
      <c r="Y31" s="671">
        <v>91.36</v>
      </c>
      <c r="Z31" s="667">
        <v>3.97</v>
      </c>
      <c r="AA31" s="671">
        <v>36.07</v>
      </c>
      <c r="AB31" s="671">
        <v>6.33</v>
      </c>
      <c r="AC31" s="672">
        <v>23.75</v>
      </c>
      <c r="AD31" s="673">
        <v>3</v>
      </c>
      <c r="AE31" s="673">
        <v>3</v>
      </c>
      <c r="AF31" s="674" t="s">
        <v>600</v>
      </c>
      <c r="AG31" s="673">
        <v>3</v>
      </c>
      <c r="AH31" s="673">
        <v>3</v>
      </c>
      <c r="AI31" s="675" t="s">
        <v>600</v>
      </c>
      <c r="AJ31" s="664"/>
    </row>
    <row r="32" spans="1:36" s="628" customFormat="1" ht="13.5" customHeight="1">
      <c r="A32" s="677" t="s">
        <v>1132</v>
      </c>
      <c r="B32" s="678">
        <v>30.4</v>
      </c>
      <c r="C32" s="679">
        <v>152</v>
      </c>
      <c r="D32" s="679">
        <v>160</v>
      </c>
      <c r="E32" s="680">
        <v>6</v>
      </c>
      <c r="F32" s="680">
        <v>9</v>
      </c>
      <c r="G32" s="681">
        <v>15</v>
      </c>
      <c r="H32" s="682">
        <v>38.770000000000003</v>
      </c>
      <c r="I32" s="679">
        <v>134</v>
      </c>
      <c r="J32" s="679">
        <v>104</v>
      </c>
      <c r="K32" s="679" t="s">
        <v>1131</v>
      </c>
      <c r="L32" s="683">
        <v>78</v>
      </c>
      <c r="M32" s="684">
        <v>84</v>
      </c>
      <c r="N32" s="685">
        <v>0.90600000000000003</v>
      </c>
      <c r="O32" s="685">
        <v>29.78</v>
      </c>
      <c r="P32" s="677" t="s">
        <v>1132</v>
      </c>
      <c r="Q32" s="686">
        <v>30.4</v>
      </c>
      <c r="R32" s="680">
        <v>1673</v>
      </c>
      <c r="S32" s="680">
        <v>220.1</v>
      </c>
      <c r="T32" s="680">
        <v>245.1</v>
      </c>
      <c r="U32" s="687">
        <v>6.57</v>
      </c>
      <c r="V32" s="682">
        <v>13.21</v>
      </c>
      <c r="W32" s="680">
        <v>615.6</v>
      </c>
      <c r="X32" s="687">
        <v>76.95</v>
      </c>
      <c r="Y32" s="680">
        <v>117.6</v>
      </c>
      <c r="Z32" s="682">
        <v>3.98</v>
      </c>
      <c r="AA32" s="687">
        <v>41.57</v>
      </c>
      <c r="AB32" s="687">
        <v>12.19</v>
      </c>
      <c r="AC32" s="688">
        <v>31.41</v>
      </c>
      <c r="AD32" s="689">
        <v>1</v>
      </c>
      <c r="AE32" s="689">
        <v>2</v>
      </c>
      <c r="AF32" s="690" t="s">
        <v>600</v>
      </c>
      <c r="AG32" s="689">
        <v>1</v>
      </c>
      <c r="AH32" s="689">
        <v>2</v>
      </c>
      <c r="AI32" s="691" t="s">
        <v>600</v>
      </c>
      <c r="AJ32" s="679"/>
    </row>
    <row r="33" spans="1:36" s="692" customFormat="1" ht="13.5" customHeight="1">
      <c r="A33" s="662" t="s">
        <v>1133</v>
      </c>
      <c r="B33" s="663">
        <v>42.6</v>
      </c>
      <c r="C33" s="664">
        <v>160</v>
      </c>
      <c r="D33" s="664">
        <v>160</v>
      </c>
      <c r="E33" s="665">
        <v>8</v>
      </c>
      <c r="F33" s="665">
        <v>13</v>
      </c>
      <c r="G33" s="666">
        <v>15</v>
      </c>
      <c r="H33" s="667">
        <v>54.25</v>
      </c>
      <c r="I33" s="664">
        <v>134</v>
      </c>
      <c r="J33" s="664">
        <v>104</v>
      </c>
      <c r="K33" s="664" t="s">
        <v>1131</v>
      </c>
      <c r="L33" s="668">
        <v>80</v>
      </c>
      <c r="M33" s="669">
        <v>84</v>
      </c>
      <c r="N33" s="670">
        <v>0.91800000000000004</v>
      </c>
      <c r="O33" s="670">
        <v>21.56</v>
      </c>
      <c r="P33" s="662" t="s">
        <v>1133</v>
      </c>
      <c r="Q33" s="663">
        <v>42.6</v>
      </c>
      <c r="R33" s="665">
        <v>2492</v>
      </c>
      <c r="S33" s="665">
        <v>311.5</v>
      </c>
      <c r="T33" s="665">
        <v>354</v>
      </c>
      <c r="U33" s="671">
        <v>6.78</v>
      </c>
      <c r="V33" s="667">
        <v>17.59</v>
      </c>
      <c r="W33" s="665">
        <v>889.2</v>
      </c>
      <c r="X33" s="665">
        <v>111.2</v>
      </c>
      <c r="Y33" s="665">
        <v>170</v>
      </c>
      <c r="Z33" s="667">
        <v>4.05</v>
      </c>
      <c r="AA33" s="671">
        <v>51.57</v>
      </c>
      <c r="AB33" s="671">
        <v>31.24</v>
      </c>
      <c r="AC33" s="672">
        <v>47.94</v>
      </c>
      <c r="AD33" s="673">
        <v>1</v>
      </c>
      <c r="AE33" s="673">
        <v>1</v>
      </c>
      <c r="AF33" s="674" t="s">
        <v>600</v>
      </c>
      <c r="AG33" s="673">
        <v>1</v>
      </c>
      <c r="AH33" s="673">
        <v>1</v>
      </c>
      <c r="AI33" s="675" t="s">
        <v>600</v>
      </c>
      <c r="AJ33" s="664"/>
    </row>
    <row r="34" spans="1:36" s="628" customFormat="1" ht="13.5" customHeight="1">
      <c r="A34" s="677" t="s">
        <v>1134</v>
      </c>
      <c r="B34" s="678">
        <v>76.2</v>
      </c>
      <c r="C34" s="679">
        <v>180</v>
      </c>
      <c r="D34" s="679">
        <v>166</v>
      </c>
      <c r="E34" s="680">
        <v>14</v>
      </c>
      <c r="F34" s="680">
        <v>23</v>
      </c>
      <c r="G34" s="681">
        <v>15</v>
      </c>
      <c r="H34" s="682">
        <v>97.05</v>
      </c>
      <c r="I34" s="679">
        <v>134</v>
      </c>
      <c r="J34" s="679">
        <v>104</v>
      </c>
      <c r="K34" s="679" t="s">
        <v>1131</v>
      </c>
      <c r="L34" s="683">
        <v>86</v>
      </c>
      <c r="M34" s="684">
        <v>90</v>
      </c>
      <c r="N34" s="685">
        <v>0.97</v>
      </c>
      <c r="O34" s="685">
        <v>12.74</v>
      </c>
      <c r="P34" s="677" t="s">
        <v>1134</v>
      </c>
      <c r="Q34" s="686">
        <v>76.2</v>
      </c>
      <c r="R34" s="680">
        <v>5098</v>
      </c>
      <c r="S34" s="680">
        <v>566.5</v>
      </c>
      <c r="T34" s="680">
        <v>674.6</v>
      </c>
      <c r="U34" s="687">
        <v>7.25</v>
      </c>
      <c r="V34" s="682">
        <v>30.81</v>
      </c>
      <c r="W34" s="680">
        <v>1759</v>
      </c>
      <c r="X34" s="680">
        <v>211.9</v>
      </c>
      <c r="Y34" s="680">
        <v>325.5</v>
      </c>
      <c r="Z34" s="682">
        <v>4.26</v>
      </c>
      <c r="AA34" s="687">
        <v>77.569999999999993</v>
      </c>
      <c r="AB34" s="687">
        <v>162.4</v>
      </c>
      <c r="AC34" s="688">
        <v>108.1</v>
      </c>
      <c r="AD34" s="689">
        <v>1</v>
      </c>
      <c r="AE34" s="689">
        <v>1</v>
      </c>
      <c r="AF34" s="690" t="s">
        <v>600</v>
      </c>
      <c r="AG34" s="689">
        <v>1</v>
      </c>
      <c r="AH34" s="689">
        <v>1</v>
      </c>
      <c r="AI34" s="691" t="s">
        <v>600</v>
      </c>
      <c r="AJ34" s="679"/>
    </row>
    <row r="35" spans="1:36" s="628" customFormat="1" ht="13.5" customHeight="1">
      <c r="A35" s="677"/>
      <c r="B35" s="678"/>
      <c r="C35" s="679"/>
      <c r="D35" s="679"/>
      <c r="E35" s="680"/>
      <c r="F35" s="680"/>
      <c r="G35" s="681"/>
      <c r="H35" s="682"/>
      <c r="I35" s="679"/>
      <c r="J35" s="679"/>
      <c r="K35" s="679"/>
      <c r="L35" s="683"/>
      <c r="M35" s="684"/>
      <c r="N35" s="685"/>
      <c r="O35" s="685"/>
      <c r="P35" s="677"/>
      <c r="Q35" s="686"/>
      <c r="R35" s="680"/>
      <c r="S35" s="680"/>
      <c r="T35" s="680"/>
      <c r="U35" s="687"/>
      <c r="V35" s="682"/>
      <c r="W35" s="680"/>
      <c r="X35" s="680"/>
      <c r="Y35" s="680"/>
      <c r="Z35" s="682"/>
      <c r="AA35" s="687"/>
      <c r="AB35" s="687"/>
      <c r="AC35" s="688"/>
      <c r="AD35" s="689"/>
      <c r="AE35" s="689"/>
      <c r="AF35" s="690"/>
      <c r="AG35" s="689"/>
      <c r="AH35" s="689"/>
      <c r="AI35" s="691"/>
      <c r="AJ35" s="679"/>
    </row>
    <row r="36" spans="1:36" s="692" customFormat="1" ht="13.5" customHeight="1">
      <c r="A36" s="662" t="s">
        <v>1135</v>
      </c>
      <c r="B36" s="663">
        <v>28.7</v>
      </c>
      <c r="C36" s="664">
        <v>167</v>
      </c>
      <c r="D36" s="664">
        <v>180</v>
      </c>
      <c r="E36" s="665">
        <v>5</v>
      </c>
      <c r="F36" s="665">
        <v>7.5</v>
      </c>
      <c r="G36" s="666">
        <v>15</v>
      </c>
      <c r="H36" s="667">
        <v>36.53</v>
      </c>
      <c r="I36" s="664">
        <v>152</v>
      </c>
      <c r="J36" s="664">
        <v>122</v>
      </c>
      <c r="K36" s="664" t="s">
        <v>1136</v>
      </c>
      <c r="L36" s="668">
        <v>84</v>
      </c>
      <c r="M36" s="669">
        <v>92</v>
      </c>
      <c r="N36" s="670">
        <v>1.018</v>
      </c>
      <c r="O36" s="670">
        <v>35.51</v>
      </c>
      <c r="P36" s="662" t="s">
        <v>1135</v>
      </c>
      <c r="Q36" s="663">
        <v>28.7</v>
      </c>
      <c r="R36" s="665">
        <v>1967</v>
      </c>
      <c r="S36" s="665">
        <v>235.6</v>
      </c>
      <c r="T36" s="665">
        <v>258.2</v>
      </c>
      <c r="U36" s="671">
        <v>7.34</v>
      </c>
      <c r="V36" s="667">
        <v>12.16</v>
      </c>
      <c r="W36" s="665">
        <v>730</v>
      </c>
      <c r="X36" s="665">
        <v>81.11</v>
      </c>
      <c r="Y36" s="665">
        <v>123.6</v>
      </c>
      <c r="Z36" s="667">
        <v>4.47</v>
      </c>
      <c r="AA36" s="671">
        <v>37.57</v>
      </c>
      <c r="AB36" s="671">
        <v>8.33</v>
      </c>
      <c r="AC36" s="672">
        <v>46.36</v>
      </c>
      <c r="AD36" s="673">
        <v>3</v>
      </c>
      <c r="AE36" s="673">
        <v>3</v>
      </c>
      <c r="AF36" s="674" t="s">
        <v>600</v>
      </c>
      <c r="AG36" s="673">
        <v>3</v>
      </c>
      <c r="AH36" s="673">
        <v>3</v>
      </c>
      <c r="AI36" s="675" t="s">
        <v>600</v>
      </c>
      <c r="AJ36" s="664"/>
    </row>
    <row r="37" spans="1:36" s="628" customFormat="1" ht="13.5" customHeight="1">
      <c r="A37" s="677" t="s">
        <v>1137</v>
      </c>
      <c r="B37" s="678">
        <v>35.5</v>
      </c>
      <c r="C37" s="679">
        <v>171</v>
      </c>
      <c r="D37" s="679">
        <v>180</v>
      </c>
      <c r="E37" s="680">
        <v>6</v>
      </c>
      <c r="F37" s="680">
        <v>9.5</v>
      </c>
      <c r="G37" s="681">
        <v>15</v>
      </c>
      <c r="H37" s="682">
        <v>45.25</v>
      </c>
      <c r="I37" s="679">
        <v>152</v>
      </c>
      <c r="J37" s="679">
        <v>122</v>
      </c>
      <c r="K37" s="679" t="s">
        <v>1136</v>
      </c>
      <c r="L37" s="683">
        <v>86</v>
      </c>
      <c r="M37" s="684">
        <v>92</v>
      </c>
      <c r="N37" s="685">
        <v>1.024</v>
      </c>
      <c r="O37" s="685">
        <v>28.83</v>
      </c>
      <c r="P37" s="677" t="s">
        <v>1137</v>
      </c>
      <c r="Q37" s="686">
        <v>35.5</v>
      </c>
      <c r="R37" s="680">
        <v>2510</v>
      </c>
      <c r="S37" s="680">
        <v>293.60000000000002</v>
      </c>
      <c r="T37" s="680">
        <v>324.89999999999998</v>
      </c>
      <c r="U37" s="687">
        <v>7.45</v>
      </c>
      <c r="V37" s="682">
        <v>14.47</v>
      </c>
      <c r="W37" s="680">
        <v>924.6</v>
      </c>
      <c r="X37" s="680">
        <v>102.7</v>
      </c>
      <c r="Y37" s="680">
        <v>156.5</v>
      </c>
      <c r="Z37" s="682">
        <v>4.5199999999999996</v>
      </c>
      <c r="AA37" s="687">
        <v>42.57</v>
      </c>
      <c r="AB37" s="687">
        <v>14.8</v>
      </c>
      <c r="AC37" s="688">
        <v>60.21</v>
      </c>
      <c r="AD37" s="689">
        <v>1</v>
      </c>
      <c r="AE37" s="689">
        <v>3</v>
      </c>
      <c r="AF37" s="690" t="s">
        <v>600</v>
      </c>
      <c r="AG37" s="689">
        <v>1</v>
      </c>
      <c r="AH37" s="689">
        <v>3</v>
      </c>
      <c r="AI37" s="691" t="s">
        <v>600</v>
      </c>
      <c r="AJ37" s="679"/>
    </row>
    <row r="38" spans="1:36" s="692" customFormat="1" ht="13.5" customHeight="1">
      <c r="A38" s="662" t="s">
        <v>1138</v>
      </c>
      <c r="B38" s="663">
        <v>51.2</v>
      </c>
      <c r="C38" s="664">
        <v>180</v>
      </c>
      <c r="D38" s="664">
        <v>180</v>
      </c>
      <c r="E38" s="665">
        <v>8.5</v>
      </c>
      <c r="F38" s="665">
        <v>14</v>
      </c>
      <c r="G38" s="666">
        <v>15</v>
      </c>
      <c r="H38" s="667">
        <v>65.25</v>
      </c>
      <c r="I38" s="664">
        <v>152</v>
      </c>
      <c r="J38" s="664">
        <v>122</v>
      </c>
      <c r="K38" s="664" t="s">
        <v>1136</v>
      </c>
      <c r="L38" s="668">
        <v>88</v>
      </c>
      <c r="M38" s="669">
        <v>92</v>
      </c>
      <c r="N38" s="670">
        <v>1.0369999999999999</v>
      </c>
      <c r="O38" s="670">
        <v>20.25</v>
      </c>
      <c r="P38" s="662" t="s">
        <v>1138</v>
      </c>
      <c r="Q38" s="663">
        <v>51.2</v>
      </c>
      <c r="R38" s="665">
        <v>3831</v>
      </c>
      <c r="S38" s="665">
        <v>425.7</v>
      </c>
      <c r="T38" s="665">
        <v>481.4</v>
      </c>
      <c r="U38" s="671">
        <v>7.66</v>
      </c>
      <c r="V38" s="667">
        <v>20.239999999999998</v>
      </c>
      <c r="W38" s="665">
        <v>1363</v>
      </c>
      <c r="X38" s="665">
        <v>151.4</v>
      </c>
      <c r="Y38" s="665">
        <v>231</v>
      </c>
      <c r="Z38" s="667">
        <v>4.57</v>
      </c>
      <c r="AA38" s="671">
        <v>54.07</v>
      </c>
      <c r="AB38" s="671">
        <v>42.16</v>
      </c>
      <c r="AC38" s="672">
        <v>93.75</v>
      </c>
      <c r="AD38" s="673">
        <v>1</v>
      </c>
      <c r="AE38" s="673">
        <v>1</v>
      </c>
      <c r="AF38" s="674" t="s">
        <v>600</v>
      </c>
      <c r="AG38" s="673">
        <v>1</v>
      </c>
      <c r="AH38" s="673">
        <v>1</v>
      </c>
      <c r="AI38" s="675" t="s">
        <v>600</v>
      </c>
      <c r="AJ38" s="664"/>
    </row>
    <row r="39" spans="1:36" s="628" customFormat="1" ht="13.5" customHeight="1">
      <c r="A39" s="677" t="s">
        <v>1139</v>
      </c>
      <c r="B39" s="678">
        <v>88.9</v>
      </c>
      <c r="C39" s="679">
        <v>200</v>
      </c>
      <c r="D39" s="679">
        <v>186</v>
      </c>
      <c r="E39" s="680">
        <v>14.5</v>
      </c>
      <c r="F39" s="680">
        <v>24</v>
      </c>
      <c r="G39" s="681">
        <v>15</v>
      </c>
      <c r="H39" s="682">
        <v>113.3</v>
      </c>
      <c r="I39" s="679">
        <v>152</v>
      </c>
      <c r="J39" s="679">
        <v>122</v>
      </c>
      <c r="K39" s="679" t="s">
        <v>1136</v>
      </c>
      <c r="L39" s="683">
        <v>94</v>
      </c>
      <c r="M39" s="684">
        <v>98</v>
      </c>
      <c r="N39" s="685">
        <v>1.089</v>
      </c>
      <c r="O39" s="685">
        <v>12.25</v>
      </c>
      <c r="P39" s="677" t="s">
        <v>1139</v>
      </c>
      <c r="Q39" s="686">
        <v>88.9</v>
      </c>
      <c r="R39" s="680">
        <v>7483</v>
      </c>
      <c r="S39" s="680">
        <v>748.3</v>
      </c>
      <c r="T39" s="680">
        <v>883.4</v>
      </c>
      <c r="U39" s="687">
        <v>8.1300000000000008</v>
      </c>
      <c r="V39" s="682">
        <v>34.65</v>
      </c>
      <c r="W39" s="683">
        <v>2580</v>
      </c>
      <c r="X39" s="680">
        <v>277.39999999999998</v>
      </c>
      <c r="Y39" s="680">
        <v>425.2</v>
      </c>
      <c r="Z39" s="682">
        <v>4.7699999999999996</v>
      </c>
      <c r="AA39" s="687">
        <v>80.069999999999993</v>
      </c>
      <c r="AB39" s="687">
        <v>203.3</v>
      </c>
      <c r="AC39" s="688">
        <v>199.3</v>
      </c>
      <c r="AD39" s="689">
        <v>1</v>
      </c>
      <c r="AE39" s="689">
        <v>1</v>
      </c>
      <c r="AF39" s="690" t="s">
        <v>600</v>
      </c>
      <c r="AG39" s="689">
        <v>1</v>
      </c>
      <c r="AH39" s="689">
        <v>1</v>
      </c>
      <c r="AI39" s="691" t="s">
        <v>600</v>
      </c>
      <c r="AJ39" s="679"/>
    </row>
    <row r="40" spans="1:36" s="628" customFormat="1" ht="13.5" customHeight="1">
      <c r="A40" s="677"/>
      <c r="B40" s="678"/>
      <c r="C40" s="679"/>
      <c r="D40" s="679"/>
      <c r="E40" s="680"/>
      <c r="F40" s="680"/>
      <c r="G40" s="681"/>
      <c r="H40" s="682"/>
      <c r="I40" s="679"/>
      <c r="J40" s="679"/>
      <c r="K40" s="679"/>
      <c r="L40" s="683"/>
      <c r="M40" s="684"/>
      <c r="N40" s="685"/>
      <c r="O40" s="685"/>
      <c r="P40" s="677"/>
      <c r="Q40" s="686"/>
      <c r="R40" s="680"/>
      <c r="S40" s="680"/>
      <c r="T40" s="680"/>
      <c r="U40" s="687"/>
      <c r="V40" s="682"/>
      <c r="W40" s="680"/>
      <c r="X40" s="680"/>
      <c r="Y40" s="680"/>
      <c r="Z40" s="682"/>
      <c r="AA40" s="687"/>
      <c r="AB40" s="687"/>
      <c r="AC40" s="688"/>
      <c r="AD40" s="689"/>
      <c r="AE40" s="689"/>
      <c r="AF40" s="690"/>
      <c r="AG40" s="689"/>
      <c r="AH40" s="689"/>
      <c r="AI40" s="691"/>
      <c r="AJ40" s="679"/>
    </row>
    <row r="41" spans="1:36" s="692" customFormat="1" ht="13.5" customHeight="1">
      <c r="A41" s="662" t="s">
        <v>1140</v>
      </c>
      <c r="B41" s="663">
        <v>34.6</v>
      </c>
      <c r="C41" s="664">
        <v>186</v>
      </c>
      <c r="D41" s="664">
        <v>200</v>
      </c>
      <c r="E41" s="665">
        <v>5.5</v>
      </c>
      <c r="F41" s="665">
        <v>8</v>
      </c>
      <c r="G41" s="666">
        <v>18</v>
      </c>
      <c r="H41" s="667">
        <v>44.13</v>
      </c>
      <c r="I41" s="664">
        <v>170</v>
      </c>
      <c r="J41" s="664">
        <v>134</v>
      </c>
      <c r="K41" s="664" t="s">
        <v>1141</v>
      </c>
      <c r="L41" s="668">
        <v>96</v>
      </c>
      <c r="M41" s="669">
        <v>100</v>
      </c>
      <c r="N41" s="670">
        <v>1.1299999999999999</v>
      </c>
      <c r="O41" s="670">
        <v>32.619999999999997</v>
      </c>
      <c r="P41" s="662" t="s">
        <v>1140</v>
      </c>
      <c r="Q41" s="663">
        <v>34.6</v>
      </c>
      <c r="R41" s="665">
        <v>2944</v>
      </c>
      <c r="S41" s="665">
        <v>316.60000000000002</v>
      </c>
      <c r="T41" s="665">
        <v>347.1</v>
      </c>
      <c r="U41" s="671">
        <v>8.17</v>
      </c>
      <c r="V41" s="667">
        <v>15.45</v>
      </c>
      <c r="W41" s="665">
        <v>1068</v>
      </c>
      <c r="X41" s="665">
        <v>106.8</v>
      </c>
      <c r="Y41" s="665">
        <v>163.19999999999999</v>
      </c>
      <c r="Z41" s="667">
        <v>4.92</v>
      </c>
      <c r="AA41" s="671">
        <v>42.59</v>
      </c>
      <c r="AB41" s="671">
        <v>12.69</v>
      </c>
      <c r="AC41" s="672">
        <v>84.49</v>
      </c>
      <c r="AD41" s="673">
        <v>3</v>
      </c>
      <c r="AE41" s="673">
        <v>4</v>
      </c>
      <c r="AF41" s="674" t="s">
        <v>600</v>
      </c>
      <c r="AG41" s="673">
        <v>3</v>
      </c>
      <c r="AH41" s="673">
        <v>4</v>
      </c>
      <c r="AI41" s="675" t="s">
        <v>600</v>
      </c>
      <c r="AJ41" s="664"/>
    </row>
    <row r="42" spans="1:36" s="628" customFormat="1" ht="13.5" customHeight="1">
      <c r="A42" s="677" t="s">
        <v>1142</v>
      </c>
      <c r="B42" s="678">
        <v>42.3</v>
      </c>
      <c r="C42" s="679">
        <v>190</v>
      </c>
      <c r="D42" s="679">
        <v>200</v>
      </c>
      <c r="E42" s="680">
        <v>6.5</v>
      </c>
      <c r="F42" s="680">
        <v>10</v>
      </c>
      <c r="G42" s="681">
        <v>18</v>
      </c>
      <c r="H42" s="682">
        <v>53.83</v>
      </c>
      <c r="I42" s="679">
        <v>170</v>
      </c>
      <c r="J42" s="679">
        <v>134</v>
      </c>
      <c r="K42" s="679" t="s">
        <v>1141</v>
      </c>
      <c r="L42" s="683">
        <v>98</v>
      </c>
      <c r="M42" s="684">
        <v>100</v>
      </c>
      <c r="N42" s="685">
        <v>1.1359999999999999</v>
      </c>
      <c r="O42" s="685">
        <v>26.89</v>
      </c>
      <c r="P42" s="677" t="s">
        <v>1142</v>
      </c>
      <c r="Q42" s="686">
        <v>42.3</v>
      </c>
      <c r="R42" s="680">
        <v>3692</v>
      </c>
      <c r="S42" s="680">
        <v>388.6</v>
      </c>
      <c r="T42" s="680">
        <v>429.5</v>
      </c>
      <c r="U42" s="687">
        <v>8.2799999999999994</v>
      </c>
      <c r="V42" s="682">
        <v>18.079999999999998</v>
      </c>
      <c r="W42" s="680">
        <v>1336</v>
      </c>
      <c r="X42" s="680">
        <v>133.6</v>
      </c>
      <c r="Y42" s="680">
        <v>203.8</v>
      </c>
      <c r="Z42" s="682">
        <v>4.9800000000000004</v>
      </c>
      <c r="AA42" s="687">
        <v>47.59</v>
      </c>
      <c r="AB42" s="687">
        <v>20.98</v>
      </c>
      <c r="AC42" s="693">
        <v>108</v>
      </c>
      <c r="AD42" s="689">
        <v>1</v>
      </c>
      <c r="AE42" s="689">
        <v>3</v>
      </c>
      <c r="AF42" s="690" t="s">
        <v>600</v>
      </c>
      <c r="AG42" s="689">
        <v>1</v>
      </c>
      <c r="AH42" s="689">
        <v>3</v>
      </c>
      <c r="AI42" s="691" t="s">
        <v>600</v>
      </c>
      <c r="AJ42" s="679"/>
    </row>
    <row r="43" spans="1:36" s="692" customFormat="1" ht="13.5" customHeight="1">
      <c r="A43" s="662" t="s">
        <v>1143</v>
      </c>
      <c r="B43" s="663">
        <v>61.3</v>
      </c>
      <c r="C43" s="664">
        <v>200</v>
      </c>
      <c r="D43" s="664">
        <v>200</v>
      </c>
      <c r="E43" s="665">
        <v>9</v>
      </c>
      <c r="F43" s="665">
        <v>15</v>
      </c>
      <c r="G43" s="666">
        <v>18</v>
      </c>
      <c r="H43" s="667">
        <v>78.08</v>
      </c>
      <c r="I43" s="664">
        <v>170</v>
      </c>
      <c r="J43" s="664">
        <v>134</v>
      </c>
      <c r="K43" s="664" t="s">
        <v>1141</v>
      </c>
      <c r="L43" s="668">
        <v>100</v>
      </c>
      <c r="M43" s="669">
        <v>100</v>
      </c>
      <c r="N43" s="670">
        <v>1.151</v>
      </c>
      <c r="O43" s="670">
        <v>18.78</v>
      </c>
      <c r="P43" s="662" t="s">
        <v>1143</v>
      </c>
      <c r="Q43" s="663">
        <v>61.3</v>
      </c>
      <c r="R43" s="665">
        <v>5696</v>
      </c>
      <c r="S43" s="665">
        <v>569.6</v>
      </c>
      <c r="T43" s="665">
        <v>642.5</v>
      </c>
      <c r="U43" s="671">
        <v>8.5399999999999991</v>
      </c>
      <c r="V43" s="667">
        <v>24.83</v>
      </c>
      <c r="W43" s="665">
        <v>2003</v>
      </c>
      <c r="X43" s="665">
        <v>200.3</v>
      </c>
      <c r="Y43" s="665">
        <v>305.8</v>
      </c>
      <c r="Z43" s="667">
        <v>5.07</v>
      </c>
      <c r="AA43" s="671">
        <v>60.09</v>
      </c>
      <c r="AB43" s="671">
        <v>59.28</v>
      </c>
      <c r="AC43" s="694">
        <v>171.1</v>
      </c>
      <c r="AD43" s="673">
        <v>1</v>
      </c>
      <c r="AE43" s="673">
        <v>1</v>
      </c>
      <c r="AF43" s="674" t="s">
        <v>600</v>
      </c>
      <c r="AG43" s="673">
        <v>1</v>
      </c>
      <c r="AH43" s="673">
        <v>1</v>
      </c>
      <c r="AI43" s="675" t="s">
        <v>600</v>
      </c>
      <c r="AJ43" s="664"/>
    </row>
    <row r="44" spans="1:36" s="628" customFormat="1" ht="13.5" customHeight="1">
      <c r="A44" s="677" t="s">
        <v>1144</v>
      </c>
      <c r="B44" s="678">
        <v>103</v>
      </c>
      <c r="C44" s="679">
        <v>220</v>
      </c>
      <c r="D44" s="679">
        <v>206</v>
      </c>
      <c r="E44" s="680">
        <v>15</v>
      </c>
      <c r="F44" s="680">
        <v>25</v>
      </c>
      <c r="G44" s="681">
        <v>18</v>
      </c>
      <c r="H44" s="682">
        <v>131.30000000000001</v>
      </c>
      <c r="I44" s="679">
        <v>170</v>
      </c>
      <c r="J44" s="679">
        <v>134</v>
      </c>
      <c r="K44" s="679" t="s">
        <v>1141</v>
      </c>
      <c r="L44" s="683">
        <v>106</v>
      </c>
      <c r="M44" s="684">
        <v>106</v>
      </c>
      <c r="N44" s="685">
        <v>1.2030000000000001</v>
      </c>
      <c r="O44" s="685">
        <v>11.67</v>
      </c>
      <c r="P44" s="677" t="s">
        <v>1144</v>
      </c>
      <c r="Q44" s="686">
        <v>103</v>
      </c>
      <c r="R44" s="680">
        <v>10640</v>
      </c>
      <c r="S44" s="680">
        <v>967.4</v>
      </c>
      <c r="T44" s="680">
        <v>1135</v>
      </c>
      <c r="U44" s="687">
        <v>9</v>
      </c>
      <c r="V44" s="682">
        <v>41.03</v>
      </c>
      <c r="W44" s="680">
        <v>3651</v>
      </c>
      <c r="X44" s="680">
        <v>354.5</v>
      </c>
      <c r="Y44" s="680">
        <v>543.20000000000005</v>
      </c>
      <c r="Z44" s="682">
        <v>5.27</v>
      </c>
      <c r="AA44" s="687">
        <v>86.09</v>
      </c>
      <c r="AB44" s="687">
        <v>259.39999999999998</v>
      </c>
      <c r="AC44" s="693">
        <v>346.3</v>
      </c>
      <c r="AD44" s="689">
        <v>1</v>
      </c>
      <c r="AE44" s="689">
        <v>1</v>
      </c>
      <c r="AF44" s="690" t="s">
        <v>600</v>
      </c>
      <c r="AG44" s="689">
        <v>1</v>
      </c>
      <c r="AH44" s="689">
        <v>1</v>
      </c>
      <c r="AI44" s="691" t="s">
        <v>600</v>
      </c>
      <c r="AJ44" s="679"/>
    </row>
    <row r="45" spans="1:36" s="628" customFormat="1" ht="13.5" customHeight="1">
      <c r="A45" s="677"/>
      <c r="B45" s="678"/>
      <c r="C45" s="679"/>
      <c r="D45" s="679"/>
      <c r="E45" s="680"/>
      <c r="F45" s="680"/>
      <c r="G45" s="681"/>
      <c r="H45" s="682"/>
      <c r="I45" s="679"/>
      <c r="J45" s="679"/>
      <c r="K45" s="679"/>
      <c r="L45" s="683"/>
      <c r="M45" s="684"/>
      <c r="N45" s="685"/>
      <c r="O45" s="685"/>
      <c r="P45" s="677"/>
      <c r="Q45" s="686"/>
      <c r="R45" s="680"/>
      <c r="S45" s="680"/>
      <c r="T45" s="680"/>
      <c r="U45" s="687"/>
      <c r="V45" s="682"/>
      <c r="W45" s="680"/>
      <c r="X45" s="680"/>
      <c r="Y45" s="680"/>
      <c r="Z45" s="682"/>
      <c r="AA45" s="687"/>
      <c r="AB45" s="687"/>
      <c r="AC45" s="693"/>
      <c r="AD45" s="689"/>
      <c r="AE45" s="689"/>
      <c r="AF45" s="690"/>
      <c r="AG45" s="689"/>
      <c r="AH45" s="689"/>
      <c r="AI45" s="691"/>
      <c r="AJ45" s="679"/>
    </row>
    <row r="46" spans="1:36" s="692" customFormat="1" ht="13.5" customHeight="1">
      <c r="A46" s="662" t="s">
        <v>1145</v>
      </c>
      <c r="B46" s="663">
        <v>40.4</v>
      </c>
      <c r="C46" s="664">
        <v>205</v>
      </c>
      <c r="D46" s="664">
        <v>220</v>
      </c>
      <c r="E46" s="665">
        <v>6</v>
      </c>
      <c r="F46" s="665">
        <v>8.5</v>
      </c>
      <c r="G46" s="666">
        <v>18</v>
      </c>
      <c r="H46" s="667">
        <v>51.46</v>
      </c>
      <c r="I46" s="664">
        <v>188</v>
      </c>
      <c r="J46" s="664">
        <v>152</v>
      </c>
      <c r="K46" s="664" t="s">
        <v>1141</v>
      </c>
      <c r="L46" s="668">
        <v>98</v>
      </c>
      <c r="M46" s="669">
        <v>118</v>
      </c>
      <c r="N46" s="670">
        <v>1.2470000000000001</v>
      </c>
      <c r="O46" s="670">
        <v>30.87</v>
      </c>
      <c r="P46" s="662" t="s">
        <v>1145</v>
      </c>
      <c r="Q46" s="663">
        <v>40.4</v>
      </c>
      <c r="R46" s="665">
        <v>4170</v>
      </c>
      <c r="S46" s="665">
        <v>406.9</v>
      </c>
      <c r="T46" s="665">
        <v>445.5</v>
      </c>
      <c r="U46" s="671">
        <v>9</v>
      </c>
      <c r="V46" s="667">
        <v>17.63</v>
      </c>
      <c r="W46" s="665">
        <v>1510</v>
      </c>
      <c r="X46" s="665">
        <v>137.30000000000001</v>
      </c>
      <c r="Y46" s="665">
        <v>209.3</v>
      </c>
      <c r="Z46" s="667">
        <v>5.42</v>
      </c>
      <c r="AA46" s="671">
        <v>44.09</v>
      </c>
      <c r="AB46" s="671">
        <v>15.93</v>
      </c>
      <c r="AC46" s="694">
        <v>145.6</v>
      </c>
      <c r="AD46" s="673">
        <v>3</v>
      </c>
      <c r="AE46" s="673">
        <v>4</v>
      </c>
      <c r="AF46" s="674" t="s">
        <v>600</v>
      </c>
      <c r="AG46" s="673">
        <v>3</v>
      </c>
      <c r="AH46" s="673">
        <v>4</v>
      </c>
      <c r="AI46" s="675" t="s">
        <v>600</v>
      </c>
      <c r="AJ46" s="664"/>
    </row>
    <row r="47" spans="1:36" s="628" customFormat="1" ht="13.5" customHeight="1">
      <c r="A47" s="677" t="s">
        <v>1146</v>
      </c>
      <c r="B47" s="678">
        <v>50.5</v>
      </c>
      <c r="C47" s="679">
        <v>210</v>
      </c>
      <c r="D47" s="679">
        <v>220</v>
      </c>
      <c r="E47" s="680">
        <v>7</v>
      </c>
      <c r="F47" s="680">
        <v>11</v>
      </c>
      <c r="G47" s="681">
        <v>18</v>
      </c>
      <c r="H47" s="682">
        <v>64.34</v>
      </c>
      <c r="I47" s="679">
        <v>188</v>
      </c>
      <c r="J47" s="679">
        <v>152</v>
      </c>
      <c r="K47" s="679" t="s">
        <v>1141</v>
      </c>
      <c r="L47" s="683">
        <v>98</v>
      </c>
      <c r="M47" s="684">
        <v>118</v>
      </c>
      <c r="N47" s="685">
        <v>1.2549999999999999</v>
      </c>
      <c r="O47" s="685">
        <v>24.85</v>
      </c>
      <c r="P47" s="677" t="s">
        <v>1146</v>
      </c>
      <c r="Q47" s="686">
        <v>50.5</v>
      </c>
      <c r="R47" s="680">
        <v>5410</v>
      </c>
      <c r="S47" s="680">
        <v>515.20000000000005</v>
      </c>
      <c r="T47" s="680">
        <v>568.5</v>
      </c>
      <c r="U47" s="687">
        <v>9.17</v>
      </c>
      <c r="V47" s="682">
        <v>20.67</v>
      </c>
      <c r="W47" s="683">
        <v>1955</v>
      </c>
      <c r="X47" s="680">
        <v>177.7</v>
      </c>
      <c r="Y47" s="680">
        <v>270.60000000000002</v>
      </c>
      <c r="Z47" s="682">
        <v>5.51</v>
      </c>
      <c r="AA47" s="687">
        <v>50.09</v>
      </c>
      <c r="AB47" s="687">
        <v>28.46</v>
      </c>
      <c r="AC47" s="693">
        <v>193.3</v>
      </c>
      <c r="AD47" s="689">
        <v>1</v>
      </c>
      <c r="AE47" s="689">
        <v>3</v>
      </c>
      <c r="AF47" s="690" t="s">
        <v>600</v>
      </c>
      <c r="AG47" s="689">
        <v>1</v>
      </c>
      <c r="AH47" s="689">
        <v>3</v>
      </c>
      <c r="AI47" s="691" t="s">
        <v>600</v>
      </c>
      <c r="AJ47" s="679"/>
    </row>
    <row r="48" spans="1:36" s="692" customFormat="1" ht="13.5" customHeight="1">
      <c r="A48" s="662" t="s">
        <v>1147</v>
      </c>
      <c r="B48" s="663">
        <v>71.5</v>
      </c>
      <c r="C48" s="664">
        <v>220</v>
      </c>
      <c r="D48" s="664">
        <v>220</v>
      </c>
      <c r="E48" s="665">
        <v>9.5</v>
      </c>
      <c r="F48" s="665">
        <v>16</v>
      </c>
      <c r="G48" s="666">
        <v>18</v>
      </c>
      <c r="H48" s="667">
        <v>91.04</v>
      </c>
      <c r="I48" s="664">
        <v>188</v>
      </c>
      <c r="J48" s="664">
        <v>152</v>
      </c>
      <c r="K48" s="664" t="s">
        <v>1141</v>
      </c>
      <c r="L48" s="668">
        <v>100</v>
      </c>
      <c r="M48" s="669">
        <v>118</v>
      </c>
      <c r="N48" s="670">
        <v>1.27</v>
      </c>
      <c r="O48" s="670">
        <v>17.77</v>
      </c>
      <c r="P48" s="662" t="s">
        <v>1147</v>
      </c>
      <c r="Q48" s="663">
        <v>71.5</v>
      </c>
      <c r="R48" s="665">
        <v>8091</v>
      </c>
      <c r="S48" s="665">
        <v>735.5</v>
      </c>
      <c r="T48" s="665">
        <v>827</v>
      </c>
      <c r="U48" s="671">
        <v>9.43</v>
      </c>
      <c r="V48" s="667">
        <v>27.92</v>
      </c>
      <c r="W48" s="665">
        <v>2843</v>
      </c>
      <c r="X48" s="665">
        <v>258.5</v>
      </c>
      <c r="Y48" s="665">
        <v>393.9</v>
      </c>
      <c r="Z48" s="667">
        <v>5.59</v>
      </c>
      <c r="AA48" s="671">
        <v>62.59</v>
      </c>
      <c r="AB48" s="671">
        <v>76.569999999999993</v>
      </c>
      <c r="AC48" s="694">
        <v>295.39999999999998</v>
      </c>
      <c r="AD48" s="673">
        <v>1</v>
      </c>
      <c r="AE48" s="673">
        <v>1</v>
      </c>
      <c r="AF48" s="674" t="s">
        <v>600</v>
      </c>
      <c r="AG48" s="673">
        <v>1</v>
      </c>
      <c r="AH48" s="673">
        <v>1</v>
      </c>
      <c r="AI48" s="675" t="s">
        <v>600</v>
      </c>
      <c r="AJ48" s="664"/>
    </row>
    <row r="49" spans="1:36" s="628" customFormat="1" ht="13.5" customHeight="1">
      <c r="A49" s="677" t="s">
        <v>1148</v>
      </c>
      <c r="B49" s="678">
        <v>117</v>
      </c>
      <c r="C49" s="679">
        <v>240</v>
      </c>
      <c r="D49" s="679">
        <v>226</v>
      </c>
      <c r="E49" s="680">
        <v>15.5</v>
      </c>
      <c r="F49" s="680">
        <v>26</v>
      </c>
      <c r="G49" s="681">
        <v>18</v>
      </c>
      <c r="H49" s="682">
        <v>149.4</v>
      </c>
      <c r="I49" s="679">
        <v>188</v>
      </c>
      <c r="J49" s="679">
        <v>152</v>
      </c>
      <c r="K49" s="679" t="s">
        <v>1141</v>
      </c>
      <c r="L49" s="683">
        <v>108</v>
      </c>
      <c r="M49" s="684">
        <v>124</v>
      </c>
      <c r="N49" s="685">
        <v>1.3220000000000001</v>
      </c>
      <c r="O49" s="685">
        <v>11.27</v>
      </c>
      <c r="P49" s="677" t="s">
        <v>1148</v>
      </c>
      <c r="Q49" s="686">
        <v>117</v>
      </c>
      <c r="R49" s="680">
        <v>14600</v>
      </c>
      <c r="S49" s="680">
        <v>1217</v>
      </c>
      <c r="T49" s="680">
        <v>1419</v>
      </c>
      <c r="U49" s="687">
        <v>9.89</v>
      </c>
      <c r="V49" s="682">
        <v>45.31</v>
      </c>
      <c r="W49" s="680">
        <v>5012</v>
      </c>
      <c r="X49" s="680">
        <v>443.5</v>
      </c>
      <c r="Y49" s="680">
        <v>678.6</v>
      </c>
      <c r="Z49" s="682">
        <v>5.79</v>
      </c>
      <c r="AA49" s="687">
        <v>88.59</v>
      </c>
      <c r="AB49" s="687">
        <v>315.3</v>
      </c>
      <c r="AC49" s="693">
        <v>572.70000000000005</v>
      </c>
      <c r="AD49" s="689">
        <v>1</v>
      </c>
      <c r="AE49" s="689">
        <v>1</v>
      </c>
      <c r="AF49" s="690" t="s">
        <v>600</v>
      </c>
      <c r="AG49" s="689">
        <v>1</v>
      </c>
      <c r="AH49" s="689">
        <v>1</v>
      </c>
      <c r="AI49" s="691" t="s">
        <v>600</v>
      </c>
      <c r="AJ49" s="679"/>
    </row>
    <row r="50" spans="1:36" s="628" customFormat="1" ht="13.5" customHeight="1">
      <c r="A50" s="677"/>
      <c r="B50" s="678"/>
      <c r="C50" s="679"/>
      <c r="D50" s="679"/>
      <c r="E50" s="680"/>
      <c r="F50" s="680"/>
      <c r="G50" s="681"/>
      <c r="H50" s="682"/>
      <c r="I50" s="679"/>
      <c r="J50" s="679"/>
      <c r="K50" s="679"/>
      <c r="L50" s="683"/>
      <c r="M50" s="684"/>
      <c r="N50" s="685"/>
      <c r="O50" s="685"/>
      <c r="P50" s="677"/>
      <c r="Q50" s="686"/>
      <c r="R50" s="680"/>
      <c r="S50" s="680"/>
      <c r="T50" s="680"/>
      <c r="U50" s="687"/>
      <c r="V50" s="682"/>
      <c r="W50" s="683"/>
      <c r="X50" s="680"/>
      <c r="Y50" s="680"/>
      <c r="Z50" s="682"/>
      <c r="AA50" s="687"/>
      <c r="AB50" s="687"/>
      <c r="AC50" s="693"/>
      <c r="AD50" s="689"/>
      <c r="AE50" s="689"/>
      <c r="AF50" s="690"/>
      <c r="AG50" s="689"/>
      <c r="AH50" s="689"/>
      <c r="AI50" s="691"/>
      <c r="AJ50" s="679"/>
    </row>
    <row r="51" spans="1:36" s="692" customFormat="1" ht="13.5" customHeight="1">
      <c r="A51" s="662" t="s">
        <v>1149</v>
      </c>
      <c r="B51" s="663">
        <v>47.4</v>
      </c>
      <c r="C51" s="664">
        <v>224</v>
      </c>
      <c r="D51" s="664">
        <v>240</v>
      </c>
      <c r="E51" s="665">
        <v>6.5</v>
      </c>
      <c r="F51" s="665">
        <v>9</v>
      </c>
      <c r="G51" s="666">
        <v>21</v>
      </c>
      <c r="H51" s="667">
        <v>60.38</v>
      </c>
      <c r="I51" s="664">
        <v>206</v>
      </c>
      <c r="J51" s="664">
        <v>164</v>
      </c>
      <c r="K51" s="664" t="s">
        <v>1141</v>
      </c>
      <c r="L51" s="668">
        <v>104</v>
      </c>
      <c r="M51" s="669">
        <v>138</v>
      </c>
      <c r="N51" s="670">
        <v>1.359</v>
      </c>
      <c r="O51" s="670">
        <v>28.67</v>
      </c>
      <c r="P51" s="662" t="s">
        <v>1149</v>
      </c>
      <c r="Q51" s="663">
        <v>47.4</v>
      </c>
      <c r="R51" s="665">
        <v>5835</v>
      </c>
      <c r="S51" s="665">
        <v>521</v>
      </c>
      <c r="T51" s="665">
        <v>570.6</v>
      </c>
      <c r="U51" s="671">
        <v>9.83</v>
      </c>
      <c r="V51" s="667">
        <v>21.54</v>
      </c>
      <c r="W51" s="668">
        <v>2077</v>
      </c>
      <c r="X51" s="665">
        <v>173.1</v>
      </c>
      <c r="Y51" s="665">
        <v>264.39999999999998</v>
      </c>
      <c r="Z51" s="667">
        <v>5.87</v>
      </c>
      <c r="AA51" s="671">
        <v>49.1</v>
      </c>
      <c r="AB51" s="671">
        <v>22.98</v>
      </c>
      <c r="AC51" s="694">
        <v>239.6</v>
      </c>
      <c r="AD51" s="673">
        <v>3</v>
      </c>
      <c r="AE51" s="673">
        <v>4</v>
      </c>
      <c r="AF51" s="674" t="s">
        <v>600</v>
      </c>
      <c r="AG51" s="673">
        <v>3</v>
      </c>
      <c r="AH51" s="673">
        <v>4</v>
      </c>
      <c r="AI51" s="675" t="s">
        <v>600</v>
      </c>
      <c r="AJ51" s="664"/>
    </row>
    <row r="52" spans="1:36" s="628" customFormat="1" ht="13.5" customHeight="1">
      <c r="A52" s="695" t="s">
        <v>1150</v>
      </c>
      <c r="B52" s="696">
        <v>60.3</v>
      </c>
      <c r="C52" s="689">
        <v>230</v>
      </c>
      <c r="D52" s="689">
        <v>240</v>
      </c>
      <c r="E52" s="697">
        <v>7.5</v>
      </c>
      <c r="F52" s="697">
        <v>12</v>
      </c>
      <c r="G52" s="690">
        <v>21</v>
      </c>
      <c r="H52" s="698">
        <v>76.84</v>
      </c>
      <c r="I52" s="689">
        <v>206</v>
      </c>
      <c r="J52" s="689">
        <v>164</v>
      </c>
      <c r="K52" s="689" t="s">
        <v>1141</v>
      </c>
      <c r="L52" s="699">
        <v>104</v>
      </c>
      <c r="M52" s="700">
        <v>138</v>
      </c>
      <c r="N52" s="701">
        <v>1.369</v>
      </c>
      <c r="O52" s="701">
        <v>22.7</v>
      </c>
      <c r="P52" s="695" t="s">
        <v>1150</v>
      </c>
      <c r="Q52" s="686">
        <v>60.3</v>
      </c>
      <c r="R52" s="697">
        <v>7763</v>
      </c>
      <c r="S52" s="697">
        <v>675.1</v>
      </c>
      <c r="T52" s="697">
        <v>744.6</v>
      </c>
      <c r="U52" s="702">
        <v>10.050000000000001</v>
      </c>
      <c r="V52" s="698">
        <v>25.18</v>
      </c>
      <c r="W52" s="699">
        <v>2769</v>
      </c>
      <c r="X52" s="697">
        <v>230.7</v>
      </c>
      <c r="Y52" s="697">
        <v>351.7</v>
      </c>
      <c r="Z52" s="698">
        <v>6</v>
      </c>
      <c r="AA52" s="687">
        <v>56.1</v>
      </c>
      <c r="AB52" s="687">
        <v>41.55</v>
      </c>
      <c r="AC52" s="693">
        <v>328.5</v>
      </c>
      <c r="AD52" s="689">
        <v>1</v>
      </c>
      <c r="AE52" s="689">
        <v>3</v>
      </c>
      <c r="AF52" s="690" t="s">
        <v>600</v>
      </c>
      <c r="AG52" s="689">
        <v>1</v>
      </c>
      <c r="AH52" s="689">
        <v>3</v>
      </c>
      <c r="AI52" s="691" t="s">
        <v>600</v>
      </c>
      <c r="AJ52" s="703"/>
    </row>
    <row r="53" spans="1:36" s="692" customFormat="1" ht="13.5" customHeight="1">
      <c r="A53" s="662" t="s">
        <v>1151</v>
      </c>
      <c r="B53" s="663">
        <v>83.2</v>
      </c>
      <c r="C53" s="664">
        <v>240</v>
      </c>
      <c r="D53" s="664">
        <v>240</v>
      </c>
      <c r="E53" s="665">
        <v>10</v>
      </c>
      <c r="F53" s="665">
        <v>17</v>
      </c>
      <c r="G53" s="666">
        <v>21</v>
      </c>
      <c r="H53" s="667">
        <v>106</v>
      </c>
      <c r="I53" s="664">
        <v>206</v>
      </c>
      <c r="J53" s="664">
        <v>164</v>
      </c>
      <c r="K53" s="664" t="s">
        <v>1141</v>
      </c>
      <c r="L53" s="668">
        <v>108</v>
      </c>
      <c r="M53" s="669">
        <v>138</v>
      </c>
      <c r="N53" s="670">
        <v>1.3839999999999999</v>
      </c>
      <c r="O53" s="670">
        <v>16.63</v>
      </c>
      <c r="P53" s="662" t="s">
        <v>1151</v>
      </c>
      <c r="Q53" s="663">
        <v>83.2</v>
      </c>
      <c r="R53" s="665">
        <v>11260</v>
      </c>
      <c r="S53" s="665">
        <v>938.3</v>
      </c>
      <c r="T53" s="665">
        <v>1053</v>
      </c>
      <c r="U53" s="671">
        <v>10.31</v>
      </c>
      <c r="V53" s="667">
        <v>33.229999999999997</v>
      </c>
      <c r="W53" s="668">
        <v>3923</v>
      </c>
      <c r="X53" s="665">
        <v>326.89999999999998</v>
      </c>
      <c r="Y53" s="665">
        <v>498.4</v>
      </c>
      <c r="Z53" s="667">
        <v>6.08</v>
      </c>
      <c r="AA53" s="671">
        <v>68.599999999999994</v>
      </c>
      <c r="AB53" s="671">
        <v>102.7</v>
      </c>
      <c r="AC53" s="694">
        <v>486.9</v>
      </c>
      <c r="AD53" s="673">
        <v>1</v>
      </c>
      <c r="AE53" s="673">
        <v>1</v>
      </c>
      <c r="AF53" s="674" t="s">
        <v>600</v>
      </c>
      <c r="AG53" s="673">
        <v>1</v>
      </c>
      <c r="AH53" s="673">
        <v>1</v>
      </c>
      <c r="AI53" s="675" t="s">
        <v>600</v>
      </c>
      <c r="AJ53" s="664"/>
    </row>
    <row r="54" spans="1:36" s="628" customFormat="1" ht="13.5" customHeight="1">
      <c r="A54" s="677" t="s">
        <v>1152</v>
      </c>
      <c r="B54" s="678">
        <v>157</v>
      </c>
      <c r="C54" s="679">
        <v>270</v>
      </c>
      <c r="D54" s="679">
        <v>248</v>
      </c>
      <c r="E54" s="680">
        <v>18</v>
      </c>
      <c r="F54" s="680">
        <v>32</v>
      </c>
      <c r="G54" s="681">
        <v>21</v>
      </c>
      <c r="H54" s="682">
        <v>199.6</v>
      </c>
      <c r="I54" s="679">
        <v>206</v>
      </c>
      <c r="J54" s="679">
        <v>164</v>
      </c>
      <c r="K54" s="679" t="s">
        <v>1141</v>
      </c>
      <c r="L54" s="683">
        <v>116</v>
      </c>
      <c r="M54" s="684">
        <v>146</v>
      </c>
      <c r="N54" s="685">
        <v>1.46</v>
      </c>
      <c r="O54" s="685">
        <v>9.3179999999999996</v>
      </c>
      <c r="P54" s="677" t="s">
        <v>1152</v>
      </c>
      <c r="Q54" s="686">
        <v>157</v>
      </c>
      <c r="R54" s="680">
        <v>24290</v>
      </c>
      <c r="S54" s="680">
        <v>1799</v>
      </c>
      <c r="T54" s="680">
        <v>2117</v>
      </c>
      <c r="U54" s="687">
        <v>11.03</v>
      </c>
      <c r="V54" s="682">
        <v>60.07</v>
      </c>
      <c r="W54" s="683">
        <v>8153</v>
      </c>
      <c r="X54" s="680">
        <v>657.5</v>
      </c>
      <c r="Y54" s="680">
        <v>1006</v>
      </c>
      <c r="Z54" s="682">
        <v>6.39</v>
      </c>
      <c r="AA54" s="687">
        <v>106.6</v>
      </c>
      <c r="AB54" s="687">
        <v>627.9</v>
      </c>
      <c r="AC54" s="693">
        <v>1152</v>
      </c>
      <c r="AD54" s="689">
        <v>1</v>
      </c>
      <c r="AE54" s="689">
        <v>1</v>
      </c>
      <c r="AF54" s="690" t="s">
        <v>600</v>
      </c>
      <c r="AG54" s="689">
        <v>1</v>
      </c>
      <c r="AH54" s="689">
        <v>1</v>
      </c>
      <c r="AI54" s="691" t="s">
        <v>600</v>
      </c>
      <c r="AJ54" s="679"/>
    </row>
    <row r="55" spans="1:36" s="705" customFormat="1" ht="13.5" customHeight="1">
      <c r="A55" s="677"/>
      <c r="B55" s="704"/>
      <c r="C55" s="679"/>
      <c r="D55" s="679"/>
      <c r="E55" s="680"/>
      <c r="F55" s="680"/>
      <c r="G55" s="681"/>
      <c r="H55" s="682"/>
      <c r="I55" s="679"/>
      <c r="J55" s="679"/>
      <c r="K55" s="679"/>
      <c r="L55" s="683"/>
      <c r="M55" s="684"/>
      <c r="N55" s="685"/>
      <c r="O55" s="685"/>
      <c r="P55" s="677"/>
      <c r="Q55" s="686"/>
      <c r="R55" s="680"/>
      <c r="S55" s="680"/>
      <c r="T55" s="680"/>
      <c r="U55" s="687"/>
      <c r="V55" s="682"/>
      <c r="W55" s="683"/>
      <c r="X55" s="680"/>
      <c r="Y55" s="680"/>
      <c r="Z55" s="682"/>
      <c r="AA55" s="687"/>
      <c r="AB55" s="687"/>
      <c r="AC55" s="693"/>
      <c r="AD55" s="689"/>
      <c r="AE55" s="689"/>
      <c r="AF55" s="690"/>
      <c r="AG55" s="689"/>
      <c r="AH55" s="689"/>
      <c r="AI55" s="691"/>
      <c r="AJ55" s="679"/>
    </row>
    <row r="56" spans="1:36" s="692" customFormat="1" ht="13.5" customHeight="1">
      <c r="A56" s="706" t="s">
        <v>1153</v>
      </c>
      <c r="B56" s="707">
        <v>54.1</v>
      </c>
      <c r="C56" s="673">
        <v>244</v>
      </c>
      <c r="D56" s="673">
        <v>260</v>
      </c>
      <c r="E56" s="708">
        <v>6.5</v>
      </c>
      <c r="F56" s="708">
        <v>9.5</v>
      </c>
      <c r="G56" s="674">
        <v>24</v>
      </c>
      <c r="H56" s="709">
        <v>68.97</v>
      </c>
      <c r="I56" s="673">
        <v>225</v>
      </c>
      <c r="J56" s="673">
        <v>177</v>
      </c>
      <c r="K56" s="673" t="s">
        <v>1141</v>
      </c>
      <c r="L56" s="710">
        <v>110</v>
      </c>
      <c r="M56" s="711">
        <v>158</v>
      </c>
      <c r="N56" s="712">
        <v>1.474</v>
      </c>
      <c r="O56" s="712">
        <v>27.22</v>
      </c>
      <c r="P56" s="706" t="s">
        <v>1153</v>
      </c>
      <c r="Q56" s="663">
        <v>54.1</v>
      </c>
      <c r="R56" s="708">
        <v>7981</v>
      </c>
      <c r="S56" s="708">
        <v>654.1</v>
      </c>
      <c r="T56" s="708">
        <v>714.5</v>
      </c>
      <c r="U56" s="713">
        <v>10.76</v>
      </c>
      <c r="V56" s="709">
        <v>24.75</v>
      </c>
      <c r="W56" s="710">
        <v>2788</v>
      </c>
      <c r="X56" s="708">
        <v>214.5</v>
      </c>
      <c r="Y56" s="708">
        <v>327.7</v>
      </c>
      <c r="Z56" s="709">
        <v>6.36</v>
      </c>
      <c r="AA56" s="671">
        <v>53.62</v>
      </c>
      <c r="AB56" s="671">
        <v>30.31</v>
      </c>
      <c r="AC56" s="694">
        <v>382.6</v>
      </c>
      <c r="AD56" s="673">
        <v>3</v>
      </c>
      <c r="AE56" s="673">
        <v>4</v>
      </c>
      <c r="AF56" s="674" t="s">
        <v>600</v>
      </c>
      <c r="AG56" s="673">
        <v>3</v>
      </c>
      <c r="AH56" s="673">
        <v>4</v>
      </c>
      <c r="AI56" s="675" t="s">
        <v>600</v>
      </c>
      <c r="AJ56" s="714"/>
    </row>
    <row r="57" spans="1:36" s="628" customFormat="1" ht="13.5" customHeight="1">
      <c r="A57" s="677" t="s">
        <v>1154</v>
      </c>
      <c r="B57" s="696">
        <v>68.2</v>
      </c>
      <c r="C57" s="689">
        <v>250</v>
      </c>
      <c r="D57" s="689">
        <v>260</v>
      </c>
      <c r="E57" s="697">
        <v>7.5</v>
      </c>
      <c r="F57" s="697">
        <v>12.5</v>
      </c>
      <c r="G57" s="690">
        <v>24</v>
      </c>
      <c r="H57" s="698">
        <v>86.82</v>
      </c>
      <c r="I57" s="689">
        <v>225</v>
      </c>
      <c r="J57" s="689">
        <v>177</v>
      </c>
      <c r="K57" s="689" t="s">
        <v>1141</v>
      </c>
      <c r="L57" s="699">
        <v>110</v>
      </c>
      <c r="M57" s="700">
        <v>158</v>
      </c>
      <c r="N57" s="701">
        <v>1.484</v>
      </c>
      <c r="O57" s="701">
        <v>21.77</v>
      </c>
      <c r="P57" s="695" t="s">
        <v>1154</v>
      </c>
      <c r="Q57" s="686">
        <v>68.2</v>
      </c>
      <c r="R57" s="697">
        <v>10450</v>
      </c>
      <c r="S57" s="697">
        <v>836.4</v>
      </c>
      <c r="T57" s="697">
        <v>919.8</v>
      </c>
      <c r="U57" s="702">
        <v>10.97</v>
      </c>
      <c r="V57" s="698">
        <v>28.76</v>
      </c>
      <c r="W57" s="699">
        <v>3668</v>
      </c>
      <c r="X57" s="697">
        <v>282.10000000000002</v>
      </c>
      <c r="Y57" s="697">
        <v>430.2</v>
      </c>
      <c r="Z57" s="698">
        <v>6.5</v>
      </c>
      <c r="AA57" s="687">
        <v>60.62</v>
      </c>
      <c r="AB57" s="687">
        <v>52.37</v>
      </c>
      <c r="AC57" s="693">
        <v>516.4</v>
      </c>
      <c r="AD57" s="689">
        <v>2</v>
      </c>
      <c r="AE57" s="689">
        <v>3</v>
      </c>
      <c r="AF57" s="690">
        <v>3</v>
      </c>
      <c r="AG57" s="689">
        <v>2</v>
      </c>
      <c r="AH57" s="689">
        <v>3</v>
      </c>
      <c r="AI57" s="691">
        <v>3</v>
      </c>
      <c r="AJ57" s="679" t="s">
        <v>1155</v>
      </c>
    </row>
    <row r="58" spans="1:36" s="692" customFormat="1" ht="13.5" customHeight="1">
      <c r="A58" s="662" t="s">
        <v>1156</v>
      </c>
      <c r="B58" s="707">
        <v>93</v>
      </c>
      <c r="C58" s="673">
        <v>260</v>
      </c>
      <c r="D58" s="673">
        <v>260</v>
      </c>
      <c r="E58" s="708">
        <v>10</v>
      </c>
      <c r="F58" s="708">
        <v>17.5</v>
      </c>
      <c r="G58" s="674">
        <v>24</v>
      </c>
      <c r="H58" s="709">
        <v>118.4</v>
      </c>
      <c r="I58" s="673">
        <v>225</v>
      </c>
      <c r="J58" s="673">
        <v>177</v>
      </c>
      <c r="K58" s="673" t="s">
        <v>1141</v>
      </c>
      <c r="L58" s="710">
        <v>114</v>
      </c>
      <c r="M58" s="711">
        <v>158</v>
      </c>
      <c r="N58" s="712">
        <v>1.4990000000000001</v>
      </c>
      <c r="O58" s="712">
        <v>16.12</v>
      </c>
      <c r="P58" s="706" t="s">
        <v>1156</v>
      </c>
      <c r="Q58" s="663">
        <v>93</v>
      </c>
      <c r="R58" s="708">
        <v>14920</v>
      </c>
      <c r="S58" s="708">
        <v>1148</v>
      </c>
      <c r="T58" s="708">
        <v>1283</v>
      </c>
      <c r="U58" s="713">
        <v>11.22</v>
      </c>
      <c r="V58" s="709">
        <v>37.590000000000003</v>
      </c>
      <c r="W58" s="710">
        <v>5135</v>
      </c>
      <c r="X58" s="708">
        <v>395</v>
      </c>
      <c r="Y58" s="708">
        <v>602.20000000000005</v>
      </c>
      <c r="Z58" s="709">
        <v>6.58</v>
      </c>
      <c r="AA58" s="671">
        <v>73.12</v>
      </c>
      <c r="AB58" s="671">
        <v>123.8</v>
      </c>
      <c r="AC58" s="694">
        <v>753.7</v>
      </c>
      <c r="AD58" s="673">
        <v>1</v>
      </c>
      <c r="AE58" s="673">
        <v>1</v>
      </c>
      <c r="AF58" s="674">
        <v>2</v>
      </c>
      <c r="AG58" s="673">
        <v>1</v>
      </c>
      <c r="AH58" s="673">
        <v>1</v>
      </c>
      <c r="AI58" s="675">
        <v>2</v>
      </c>
      <c r="AJ58" s="664" t="s">
        <v>1155</v>
      </c>
    </row>
    <row r="59" spans="1:36" s="705" customFormat="1" ht="13.5" customHeight="1">
      <c r="A59" s="677" t="s">
        <v>1157</v>
      </c>
      <c r="B59" s="715">
        <v>172</v>
      </c>
      <c r="C59" s="689">
        <v>290</v>
      </c>
      <c r="D59" s="689">
        <v>268</v>
      </c>
      <c r="E59" s="697">
        <v>18</v>
      </c>
      <c r="F59" s="697">
        <v>32.5</v>
      </c>
      <c r="G59" s="690">
        <v>24</v>
      </c>
      <c r="H59" s="698">
        <v>219.6</v>
      </c>
      <c r="I59" s="689">
        <v>225</v>
      </c>
      <c r="J59" s="689">
        <v>177</v>
      </c>
      <c r="K59" s="689" t="s">
        <v>1141</v>
      </c>
      <c r="L59" s="699">
        <v>122</v>
      </c>
      <c r="M59" s="700">
        <v>166</v>
      </c>
      <c r="N59" s="701">
        <v>1.575</v>
      </c>
      <c r="O59" s="701">
        <v>9.1329999999999991</v>
      </c>
      <c r="P59" s="695" t="s">
        <v>1157</v>
      </c>
      <c r="Q59" s="686">
        <v>172</v>
      </c>
      <c r="R59" s="697">
        <v>31310</v>
      </c>
      <c r="S59" s="697">
        <v>2159</v>
      </c>
      <c r="T59" s="697">
        <v>2524</v>
      </c>
      <c r="U59" s="702">
        <v>11.94</v>
      </c>
      <c r="V59" s="698">
        <v>66.89</v>
      </c>
      <c r="W59" s="699">
        <v>10450</v>
      </c>
      <c r="X59" s="697">
        <v>779.7</v>
      </c>
      <c r="Y59" s="697">
        <v>1192</v>
      </c>
      <c r="Z59" s="698">
        <v>6.9</v>
      </c>
      <c r="AA59" s="687">
        <v>111.1</v>
      </c>
      <c r="AB59" s="687">
        <v>719</v>
      </c>
      <c r="AC59" s="693">
        <v>1728</v>
      </c>
      <c r="AD59" s="689">
        <v>1</v>
      </c>
      <c r="AE59" s="689">
        <v>1</v>
      </c>
      <c r="AF59" s="690">
        <v>1</v>
      </c>
      <c r="AG59" s="689">
        <v>1</v>
      </c>
      <c r="AH59" s="689">
        <v>1</v>
      </c>
      <c r="AI59" s="691">
        <v>1</v>
      </c>
      <c r="AJ59" s="679" t="s">
        <v>1155</v>
      </c>
    </row>
    <row r="60" spans="1:36" s="628" customFormat="1" ht="13.5" customHeight="1">
      <c r="A60" s="695"/>
      <c r="B60" s="696"/>
      <c r="C60" s="689"/>
      <c r="D60" s="689"/>
      <c r="E60" s="697"/>
      <c r="F60" s="697"/>
      <c r="G60" s="690"/>
      <c r="H60" s="698"/>
      <c r="I60" s="689"/>
      <c r="J60" s="689"/>
      <c r="K60" s="689"/>
      <c r="L60" s="699"/>
      <c r="M60" s="700"/>
      <c r="N60" s="701"/>
      <c r="O60" s="701"/>
      <c r="P60" s="695"/>
      <c r="Q60" s="686"/>
      <c r="R60" s="697"/>
      <c r="S60" s="697"/>
      <c r="T60" s="697"/>
      <c r="U60" s="702"/>
      <c r="V60" s="698"/>
      <c r="W60" s="699"/>
      <c r="X60" s="697"/>
      <c r="Y60" s="697"/>
      <c r="Z60" s="698"/>
      <c r="AA60" s="687"/>
      <c r="AB60" s="687"/>
      <c r="AC60" s="693"/>
      <c r="AD60" s="689"/>
      <c r="AE60" s="689"/>
      <c r="AF60" s="690"/>
      <c r="AG60" s="689"/>
      <c r="AH60" s="689"/>
      <c r="AI60" s="691"/>
      <c r="AJ60" s="703"/>
    </row>
    <row r="61" spans="1:36" s="692" customFormat="1" ht="13.5" customHeight="1">
      <c r="A61" s="662" t="s">
        <v>1158</v>
      </c>
      <c r="B61" s="663">
        <v>61.2</v>
      </c>
      <c r="C61" s="664">
        <v>264</v>
      </c>
      <c r="D61" s="664">
        <v>280</v>
      </c>
      <c r="E61" s="665">
        <v>7</v>
      </c>
      <c r="F61" s="665">
        <v>10</v>
      </c>
      <c r="G61" s="666">
        <v>24</v>
      </c>
      <c r="H61" s="667">
        <v>78.02</v>
      </c>
      <c r="I61" s="664">
        <v>244</v>
      </c>
      <c r="J61" s="664">
        <v>196</v>
      </c>
      <c r="K61" s="664" t="s">
        <v>1141</v>
      </c>
      <c r="L61" s="668">
        <v>110</v>
      </c>
      <c r="M61" s="669">
        <v>178</v>
      </c>
      <c r="N61" s="670">
        <v>1.593</v>
      </c>
      <c r="O61" s="670">
        <v>26.01</v>
      </c>
      <c r="P61" s="662" t="s">
        <v>1158</v>
      </c>
      <c r="Q61" s="663">
        <v>61.2</v>
      </c>
      <c r="R61" s="665">
        <v>10560</v>
      </c>
      <c r="S61" s="665">
        <v>799.8</v>
      </c>
      <c r="T61" s="665">
        <v>873.1</v>
      </c>
      <c r="U61" s="671">
        <v>11.63</v>
      </c>
      <c r="V61" s="667">
        <v>27.52</v>
      </c>
      <c r="W61" s="668">
        <v>3664</v>
      </c>
      <c r="X61" s="665">
        <v>261.7</v>
      </c>
      <c r="Y61" s="665">
        <v>399.4</v>
      </c>
      <c r="Z61" s="667">
        <v>6.85</v>
      </c>
      <c r="AA61" s="671">
        <v>55.12</v>
      </c>
      <c r="AB61" s="671">
        <v>36.22</v>
      </c>
      <c r="AC61" s="694">
        <v>590.1</v>
      </c>
      <c r="AD61" s="673">
        <v>3</v>
      </c>
      <c r="AE61" s="673">
        <v>4</v>
      </c>
      <c r="AF61" s="674" t="s">
        <v>600</v>
      </c>
      <c r="AG61" s="673">
        <v>3</v>
      </c>
      <c r="AH61" s="673">
        <v>4</v>
      </c>
      <c r="AI61" s="675" t="s">
        <v>600</v>
      </c>
      <c r="AJ61" s="664"/>
    </row>
    <row r="62" spans="1:36" s="628" customFormat="1" ht="13.5" customHeight="1">
      <c r="A62" s="677" t="s">
        <v>1159</v>
      </c>
      <c r="B62" s="678">
        <v>76.400000000000006</v>
      </c>
      <c r="C62" s="679">
        <v>270</v>
      </c>
      <c r="D62" s="679">
        <v>280</v>
      </c>
      <c r="E62" s="680">
        <v>8</v>
      </c>
      <c r="F62" s="680">
        <v>13</v>
      </c>
      <c r="G62" s="681">
        <v>24</v>
      </c>
      <c r="H62" s="682">
        <v>97.26</v>
      </c>
      <c r="I62" s="679">
        <v>244</v>
      </c>
      <c r="J62" s="679">
        <v>196</v>
      </c>
      <c r="K62" s="679" t="s">
        <v>1141</v>
      </c>
      <c r="L62" s="683">
        <v>112</v>
      </c>
      <c r="M62" s="684">
        <v>178</v>
      </c>
      <c r="N62" s="685">
        <v>1.603</v>
      </c>
      <c r="O62" s="685">
        <v>20.99</v>
      </c>
      <c r="P62" s="677" t="s">
        <v>1159</v>
      </c>
      <c r="Q62" s="686">
        <v>76.400000000000006</v>
      </c>
      <c r="R62" s="680">
        <v>13670</v>
      </c>
      <c r="S62" s="680">
        <v>1013</v>
      </c>
      <c r="T62" s="683">
        <v>1112</v>
      </c>
      <c r="U62" s="687">
        <v>11.86</v>
      </c>
      <c r="V62" s="682">
        <v>31.74</v>
      </c>
      <c r="W62" s="683">
        <v>4763</v>
      </c>
      <c r="X62" s="680">
        <v>340.2</v>
      </c>
      <c r="Y62" s="680">
        <v>518.1</v>
      </c>
      <c r="Z62" s="682">
        <v>7</v>
      </c>
      <c r="AA62" s="687">
        <v>62.12</v>
      </c>
      <c r="AB62" s="687">
        <v>62.1</v>
      </c>
      <c r="AC62" s="693">
        <v>785.4</v>
      </c>
      <c r="AD62" s="689">
        <v>2</v>
      </c>
      <c r="AE62" s="689">
        <v>3</v>
      </c>
      <c r="AF62" s="690">
        <v>4</v>
      </c>
      <c r="AG62" s="689">
        <v>2</v>
      </c>
      <c r="AH62" s="689">
        <v>3</v>
      </c>
      <c r="AI62" s="691">
        <v>4</v>
      </c>
      <c r="AJ62" s="679" t="s">
        <v>1155</v>
      </c>
    </row>
    <row r="63" spans="1:36" s="716" customFormat="1" ht="13.5" customHeight="1">
      <c r="A63" s="662" t="s">
        <v>1160</v>
      </c>
      <c r="B63" s="669">
        <v>103</v>
      </c>
      <c r="C63" s="664">
        <v>280</v>
      </c>
      <c r="D63" s="664">
        <v>280</v>
      </c>
      <c r="E63" s="665">
        <v>10.5</v>
      </c>
      <c r="F63" s="665">
        <v>18</v>
      </c>
      <c r="G63" s="666">
        <v>24</v>
      </c>
      <c r="H63" s="667">
        <v>131.4</v>
      </c>
      <c r="I63" s="664">
        <v>244</v>
      </c>
      <c r="J63" s="664">
        <v>196</v>
      </c>
      <c r="K63" s="664" t="s">
        <v>1141</v>
      </c>
      <c r="L63" s="668">
        <v>114</v>
      </c>
      <c r="M63" s="669">
        <v>178</v>
      </c>
      <c r="N63" s="670">
        <v>1.6180000000000001</v>
      </c>
      <c r="O63" s="670">
        <v>15.69</v>
      </c>
      <c r="P63" s="662" t="s">
        <v>1160</v>
      </c>
      <c r="Q63" s="663">
        <v>103</v>
      </c>
      <c r="R63" s="665">
        <v>19270</v>
      </c>
      <c r="S63" s="665">
        <v>1376</v>
      </c>
      <c r="T63" s="668">
        <v>1534</v>
      </c>
      <c r="U63" s="671">
        <v>12.11</v>
      </c>
      <c r="V63" s="667">
        <v>41.09</v>
      </c>
      <c r="W63" s="668">
        <v>6595</v>
      </c>
      <c r="X63" s="665">
        <v>471</v>
      </c>
      <c r="Y63" s="665">
        <v>717.6</v>
      </c>
      <c r="Z63" s="667">
        <v>7.09</v>
      </c>
      <c r="AA63" s="671">
        <v>74.62</v>
      </c>
      <c r="AB63" s="671">
        <v>143.69999999999999</v>
      </c>
      <c r="AC63" s="694">
        <v>1130</v>
      </c>
      <c r="AD63" s="673">
        <v>1</v>
      </c>
      <c r="AE63" s="673">
        <v>1</v>
      </c>
      <c r="AF63" s="674">
        <v>2</v>
      </c>
      <c r="AG63" s="673">
        <v>1</v>
      </c>
      <c r="AH63" s="673">
        <v>1</v>
      </c>
      <c r="AI63" s="675">
        <v>2</v>
      </c>
      <c r="AJ63" s="664" t="s">
        <v>1155</v>
      </c>
    </row>
    <row r="64" spans="1:36" s="628" customFormat="1" ht="13.5" customHeight="1">
      <c r="A64" s="677" t="s">
        <v>1161</v>
      </c>
      <c r="B64" s="678">
        <v>189</v>
      </c>
      <c r="C64" s="679">
        <v>310</v>
      </c>
      <c r="D64" s="679">
        <v>288</v>
      </c>
      <c r="E64" s="680">
        <v>18.5</v>
      </c>
      <c r="F64" s="680">
        <v>33</v>
      </c>
      <c r="G64" s="681">
        <v>24</v>
      </c>
      <c r="H64" s="682">
        <v>240.2</v>
      </c>
      <c r="I64" s="679">
        <v>244</v>
      </c>
      <c r="J64" s="679">
        <v>196</v>
      </c>
      <c r="K64" s="679" t="s">
        <v>1141</v>
      </c>
      <c r="L64" s="683">
        <v>122</v>
      </c>
      <c r="M64" s="684">
        <v>186</v>
      </c>
      <c r="N64" s="685">
        <v>1.694</v>
      </c>
      <c r="O64" s="685">
        <v>8.984</v>
      </c>
      <c r="P64" s="677" t="s">
        <v>1161</v>
      </c>
      <c r="Q64" s="686">
        <v>189</v>
      </c>
      <c r="R64" s="680">
        <v>39550</v>
      </c>
      <c r="S64" s="680">
        <v>2551</v>
      </c>
      <c r="T64" s="680">
        <v>2966</v>
      </c>
      <c r="U64" s="687">
        <v>12.83</v>
      </c>
      <c r="V64" s="682">
        <v>72.03</v>
      </c>
      <c r="W64" s="683">
        <v>13160</v>
      </c>
      <c r="X64" s="680">
        <v>914.1</v>
      </c>
      <c r="Y64" s="680">
        <v>1397</v>
      </c>
      <c r="Z64" s="682">
        <v>7.4</v>
      </c>
      <c r="AA64" s="687">
        <v>112.6</v>
      </c>
      <c r="AB64" s="687">
        <v>807.3</v>
      </c>
      <c r="AC64" s="693">
        <v>2520</v>
      </c>
      <c r="AD64" s="689">
        <v>1</v>
      </c>
      <c r="AE64" s="689">
        <v>1</v>
      </c>
      <c r="AF64" s="690">
        <v>1</v>
      </c>
      <c r="AG64" s="689">
        <v>1</v>
      </c>
      <c r="AH64" s="689">
        <v>1</v>
      </c>
      <c r="AI64" s="691">
        <v>1</v>
      </c>
      <c r="AJ64" s="679" t="s">
        <v>1155</v>
      </c>
    </row>
    <row r="65" spans="1:36" s="628" customFormat="1" ht="13.5" customHeight="1">
      <c r="A65" s="677"/>
      <c r="B65" s="678"/>
      <c r="C65" s="679"/>
      <c r="D65" s="679"/>
      <c r="E65" s="680"/>
      <c r="F65" s="680"/>
      <c r="G65" s="681"/>
      <c r="H65" s="682"/>
      <c r="I65" s="679"/>
      <c r="J65" s="679"/>
      <c r="K65" s="679"/>
      <c r="L65" s="683"/>
      <c r="M65" s="684"/>
      <c r="N65" s="685"/>
      <c r="O65" s="685"/>
      <c r="P65" s="677"/>
      <c r="Q65" s="686"/>
      <c r="R65" s="680"/>
      <c r="S65" s="680"/>
      <c r="T65" s="680"/>
      <c r="U65" s="687"/>
      <c r="V65" s="682"/>
      <c r="W65" s="683"/>
      <c r="X65" s="680"/>
      <c r="Y65" s="680"/>
      <c r="Z65" s="682"/>
      <c r="AA65" s="687"/>
      <c r="AB65" s="687"/>
      <c r="AC65" s="693"/>
      <c r="AD65" s="689"/>
      <c r="AE65" s="689"/>
      <c r="AF65" s="690"/>
      <c r="AG65" s="689"/>
      <c r="AH65" s="689"/>
      <c r="AI65" s="691"/>
      <c r="AJ65" s="679"/>
    </row>
    <row r="66" spans="1:36" s="692" customFormat="1" ht="13.5" customHeight="1">
      <c r="A66" s="662" t="s">
        <v>1162</v>
      </c>
      <c r="B66" s="663">
        <v>69.8</v>
      </c>
      <c r="C66" s="664">
        <v>283</v>
      </c>
      <c r="D66" s="664">
        <v>300</v>
      </c>
      <c r="E66" s="665">
        <v>7.5</v>
      </c>
      <c r="F66" s="665">
        <v>10.5</v>
      </c>
      <c r="G66" s="666">
        <v>27</v>
      </c>
      <c r="H66" s="667">
        <v>88.91</v>
      </c>
      <c r="I66" s="664">
        <v>262</v>
      </c>
      <c r="J66" s="664">
        <v>208</v>
      </c>
      <c r="K66" s="664" t="s">
        <v>1141</v>
      </c>
      <c r="L66" s="668">
        <v>116</v>
      </c>
      <c r="M66" s="669">
        <v>198</v>
      </c>
      <c r="N66" s="670">
        <v>1.7050000000000001</v>
      </c>
      <c r="O66" s="670">
        <v>24.42</v>
      </c>
      <c r="P66" s="662" t="s">
        <v>1162</v>
      </c>
      <c r="Q66" s="663">
        <v>69.8</v>
      </c>
      <c r="R66" s="665">
        <v>13800</v>
      </c>
      <c r="S66" s="668">
        <v>975.6</v>
      </c>
      <c r="T66" s="668">
        <v>1065</v>
      </c>
      <c r="U66" s="671">
        <v>12.46</v>
      </c>
      <c r="V66" s="667">
        <v>32.369999999999997</v>
      </c>
      <c r="W66" s="668">
        <v>4734</v>
      </c>
      <c r="X66" s="665">
        <v>315.60000000000002</v>
      </c>
      <c r="Y66" s="665">
        <v>482.3</v>
      </c>
      <c r="Z66" s="667">
        <v>7.3</v>
      </c>
      <c r="AA66" s="671">
        <v>60.13</v>
      </c>
      <c r="AB66" s="671">
        <v>49.35</v>
      </c>
      <c r="AC66" s="694">
        <v>877.2</v>
      </c>
      <c r="AD66" s="673">
        <v>3</v>
      </c>
      <c r="AE66" s="673">
        <v>4</v>
      </c>
      <c r="AF66" s="674" t="s">
        <v>600</v>
      </c>
      <c r="AG66" s="673">
        <v>3</v>
      </c>
      <c r="AH66" s="673">
        <v>4</v>
      </c>
      <c r="AI66" s="675" t="s">
        <v>600</v>
      </c>
      <c r="AJ66" s="664"/>
    </row>
    <row r="67" spans="1:36" s="628" customFormat="1" ht="13.5" customHeight="1">
      <c r="A67" s="677" t="s">
        <v>1163</v>
      </c>
      <c r="B67" s="704">
        <v>88.3</v>
      </c>
      <c r="C67" s="679">
        <v>290</v>
      </c>
      <c r="D67" s="679">
        <v>300</v>
      </c>
      <c r="E67" s="680">
        <v>8.5</v>
      </c>
      <c r="F67" s="680">
        <v>14</v>
      </c>
      <c r="G67" s="681">
        <v>27</v>
      </c>
      <c r="H67" s="682">
        <v>112.5</v>
      </c>
      <c r="I67" s="679">
        <v>262</v>
      </c>
      <c r="J67" s="679">
        <v>208</v>
      </c>
      <c r="K67" s="679" t="s">
        <v>1141</v>
      </c>
      <c r="L67" s="683">
        <v>118</v>
      </c>
      <c r="M67" s="684">
        <v>198</v>
      </c>
      <c r="N67" s="685">
        <v>1.7170000000000001</v>
      </c>
      <c r="O67" s="685">
        <v>19.43</v>
      </c>
      <c r="P67" s="677" t="s">
        <v>1163</v>
      </c>
      <c r="Q67" s="686">
        <v>88.3</v>
      </c>
      <c r="R67" s="680">
        <v>18260</v>
      </c>
      <c r="S67" s="683">
        <v>1260</v>
      </c>
      <c r="T67" s="683">
        <v>1383</v>
      </c>
      <c r="U67" s="687">
        <v>12.74</v>
      </c>
      <c r="V67" s="682">
        <v>37.28</v>
      </c>
      <c r="W67" s="683">
        <v>6310</v>
      </c>
      <c r="X67" s="680">
        <v>420.6</v>
      </c>
      <c r="Y67" s="680">
        <v>641.20000000000005</v>
      </c>
      <c r="Z67" s="682">
        <v>7.49</v>
      </c>
      <c r="AA67" s="687">
        <v>68.13</v>
      </c>
      <c r="AB67" s="687">
        <v>85.17</v>
      </c>
      <c r="AC67" s="717">
        <v>1200</v>
      </c>
      <c r="AD67" s="689">
        <v>2</v>
      </c>
      <c r="AE67" s="689">
        <v>3</v>
      </c>
      <c r="AF67" s="690">
        <v>3</v>
      </c>
      <c r="AG67" s="689">
        <v>2</v>
      </c>
      <c r="AH67" s="689">
        <v>3</v>
      </c>
      <c r="AI67" s="691">
        <v>3</v>
      </c>
      <c r="AJ67" s="679" t="s">
        <v>1155</v>
      </c>
    </row>
    <row r="68" spans="1:36" s="692" customFormat="1" ht="13.5" customHeight="1">
      <c r="A68" s="662" t="s">
        <v>1164</v>
      </c>
      <c r="B68" s="663">
        <v>117</v>
      </c>
      <c r="C68" s="664">
        <v>300</v>
      </c>
      <c r="D68" s="664">
        <v>300</v>
      </c>
      <c r="E68" s="665">
        <v>11</v>
      </c>
      <c r="F68" s="665">
        <v>19</v>
      </c>
      <c r="G68" s="666">
        <v>27</v>
      </c>
      <c r="H68" s="667">
        <v>149.1</v>
      </c>
      <c r="I68" s="664">
        <v>262</v>
      </c>
      <c r="J68" s="664">
        <v>208</v>
      </c>
      <c r="K68" s="664" t="s">
        <v>1141</v>
      </c>
      <c r="L68" s="668">
        <v>120</v>
      </c>
      <c r="M68" s="669">
        <v>198</v>
      </c>
      <c r="N68" s="670">
        <v>1.732</v>
      </c>
      <c r="O68" s="670">
        <v>14.8</v>
      </c>
      <c r="P68" s="662" t="s">
        <v>1164</v>
      </c>
      <c r="Q68" s="663">
        <v>117</v>
      </c>
      <c r="R68" s="665">
        <v>25170</v>
      </c>
      <c r="S68" s="665">
        <v>1678</v>
      </c>
      <c r="T68" s="665">
        <v>1869</v>
      </c>
      <c r="U68" s="671">
        <v>12.99</v>
      </c>
      <c r="V68" s="667">
        <v>47.43</v>
      </c>
      <c r="W68" s="668">
        <v>8563</v>
      </c>
      <c r="X68" s="665">
        <v>570.9</v>
      </c>
      <c r="Y68" s="665">
        <v>870.1</v>
      </c>
      <c r="Z68" s="667">
        <v>7.58</v>
      </c>
      <c r="AA68" s="671">
        <v>80.63</v>
      </c>
      <c r="AB68" s="671">
        <v>185</v>
      </c>
      <c r="AC68" s="718">
        <v>1688</v>
      </c>
      <c r="AD68" s="673">
        <v>1</v>
      </c>
      <c r="AE68" s="673">
        <v>1</v>
      </c>
      <c r="AF68" s="674">
        <v>3</v>
      </c>
      <c r="AG68" s="673">
        <v>1</v>
      </c>
      <c r="AH68" s="673">
        <v>1</v>
      </c>
      <c r="AI68" s="675">
        <v>3</v>
      </c>
      <c r="AJ68" s="664" t="s">
        <v>1155</v>
      </c>
    </row>
    <row r="69" spans="1:36" s="628" customFormat="1" ht="13.5" customHeight="1">
      <c r="A69" s="677" t="s">
        <v>1165</v>
      </c>
      <c r="B69" s="678">
        <v>238</v>
      </c>
      <c r="C69" s="679">
        <v>340</v>
      </c>
      <c r="D69" s="679">
        <v>310</v>
      </c>
      <c r="E69" s="680">
        <v>21</v>
      </c>
      <c r="F69" s="680">
        <v>39</v>
      </c>
      <c r="G69" s="681">
        <v>27</v>
      </c>
      <c r="H69" s="682">
        <v>303.10000000000002</v>
      </c>
      <c r="I69" s="679">
        <v>262</v>
      </c>
      <c r="J69" s="679">
        <v>208</v>
      </c>
      <c r="K69" s="679" t="s">
        <v>1141</v>
      </c>
      <c r="L69" s="683">
        <v>132</v>
      </c>
      <c r="M69" s="684">
        <v>208</v>
      </c>
      <c r="N69" s="685">
        <v>1.8320000000000001</v>
      </c>
      <c r="O69" s="685">
        <v>7.6989999999999998</v>
      </c>
      <c r="P69" s="677" t="s">
        <v>1165</v>
      </c>
      <c r="Q69" s="686">
        <v>238</v>
      </c>
      <c r="R69" s="680">
        <v>59200</v>
      </c>
      <c r="S69" s="683">
        <v>3482</v>
      </c>
      <c r="T69" s="683">
        <v>4078</v>
      </c>
      <c r="U69" s="687">
        <v>13.98</v>
      </c>
      <c r="V69" s="682">
        <v>90.53</v>
      </c>
      <c r="W69" s="683">
        <v>19400</v>
      </c>
      <c r="X69" s="680">
        <v>1252</v>
      </c>
      <c r="Y69" s="680">
        <v>1913</v>
      </c>
      <c r="Z69" s="682">
        <v>8</v>
      </c>
      <c r="AA69" s="687">
        <v>130.6</v>
      </c>
      <c r="AB69" s="687">
        <v>1408</v>
      </c>
      <c r="AC69" s="717">
        <v>4386</v>
      </c>
      <c r="AD69" s="689">
        <v>1</v>
      </c>
      <c r="AE69" s="689">
        <v>1</v>
      </c>
      <c r="AF69" s="690">
        <v>1</v>
      </c>
      <c r="AG69" s="689">
        <v>1</v>
      </c>
      <c r="AH69" s="689">
        <v>1</v>
      </c>
      <c r="AI69" s="691">
        <v>1</v>
      </c>
      <c r="AJ69" s="679" t="s">
        <v>1155</v>
      </c>
    </row>
    <row r="70" spans="1:36" s="628" customFormat="1" ht="13.5" customHeight="1">
      <c r="A70" s="677"/>
      <c r="B70" s="704"/>
      <c r="C70" s="679"/>
      <c r="D70" s="679"/>
      <c r="E70" s="680"/>
      <c r="F70" s="680"/>
      <c r="G70" s="681"/>
      <c r="H70" s="682"/>
      <c r="I70" s="679"/>
      <c r="J70" s="679"/>
      <c r="K70" s="679"/>
      <c r="L70" s="683"/>
      <c r="M70" s="684"/>
      <c r="N70" s="685"/>
      <c r="O70" s="685"/>
      <c r="P70" s="677"/>
      <c r="Q70" s="686"/>
      <c r="R70" s="680"/>
      <c r="S70" s="683"/>
      <c r="T70" s="683"/>
      <c r="U70" s="687"/>
      <c r="V70" s="682"/>
      <c r="W70" s="683"/>
      <c r="X70" s="680"/>
      <c r="Y70" s="680"/>
      <c r="Z70" s="682"/>
      <c r="AA70" s="687"/>
      <c r="AB70" s="687"/>
      <c r="AC70" s="717"/>
      <c r="AD70" s="689"/>
      <c r="AE70" s="689"/>
      <c r="AF70" s="690"/>
      <c r="AG70" s="689"/>
      <c r="AH70" s="689"/>
      <c r="AI70" s="691"/>
      <c r="AJ70" s="679"/>
    </row>
    <row r="71" spans="1:36" s="692" customFormat="1" ht="13.5" customHeight="1">
      <c r="A71" s="662" t="s">
        <v>1166</v>
      </c>
      <c r="B71" s="669">
        <v>74.2</v>
      </c>
      <c r="C71" s="664">
        <v>301</v>
      </c>
      <c r="D71" s="664">
        <v>300</v>
      </c>
      <c r="E71" s="665">
        <v>8</v>
      </c>
      <c r="F71" s="665">
        <v>11</v>
      </c>
      <c r="G71" s="666">
        <v>27</v>
      </c>
      <c r="H71" s="667">
        <v>94.58</v>
      </c>
      <c r="I71" s="664">
        <v>279</v>
      </c>
      <c r="J71" s="664">
        <v>225</v>
      </c>
      <c r="K71" s="664" t="s">
        <v>1141</v>
      </c>
      <c r="L71" s="668">
        <v>118</v>
      </c>
      <c r="M71" s="669">
        <v>198</v>
      </c>
      <c r="N71" s="670">
        <v>1.74</v>
      </c>
      <c r="O71" s="670">
        <v>23.43</v>
      </c>
      <c r="P71" s="662" t="s">
        <v>1166</v>
      </c>
      <c r="Q71" s="663">
        <v>74.2</v>
      </c>
      <c r="R71" s="665">
        <v>16450</v>
      </c>
      <c r="S71" s="668">
        <v>1093</v>
      </c>
      <c r="T71" s="668">
        <v>1196</v>
      </c>
      <c r="U71" s="671">
        <v>13.19</v>
      </c>
      <c r="V71" s="667">
        <v>35.4</v>
      </c>
      <c r="W71" s="668">
        <v>4959</v>
      </c>
      <c r="X71" s="665">
        <v>330.6</v>
      </c>
      <c r="Y71" s="665">
        <v>505.7</v>
      </c>
      <c r="Z71" s="667">
        <v>7.24</v>
      </c>
      <c r="AA71" s="671">
        <v>61.63</v>
      </c>
      <c r="AB71" s="671">
        <v>55.87</v>
      </c>
      <c r="AC71" s="718">
        <v>1041</v>
      </c>
      <c r="AD71" s="673">
        <v>3</v>
      </c>
      <c r="AE71" s="673">
        <v>4</v>
      </c>
      <c r="AF71" s="674" t="s">
        <v>600</v>
      </c>
      <c r="AG71" s="673">
        <v>3</v>
      </c>
      <c r="AH71" s="673">
        <v>4</v>
      </c>
      <c r="AI71" s="675" t="s">
        <v>600</v>
      </c>
      <c r="AJ71" s="664"/>
    </row>
    <row r="72" spans="1:36" s="628" customFormat="1" ht="13.5" customHeight="1">
      <c r="A72" s="677" t="s">
        <v>1167</v>
      </c>
      <c r="B72" s="678">
        <v>97.6</v>
      </c>
      <c r="C72" s="679">
        <v>310</v>
      </c>
      <c r="D72" s="679">
        <v>300</v>
      </c>
      <c r="E72" s="680">
        <v>9</v>
      </c>
      <c r="F72" s="680">
        <v>15.5</v>
      </c>
      <c r="G72" s="681">
        <v>27</v>
      </c>
      <c r="H72" s="682">
        <v>124.4</v>
      </c>
      <c r="I72" s="679">
        <v>279</v>
      </c>
      <c r="J72" s="679">
        <v>225</v>
      </c>
      <c r="K72" s="679" t="s">
        <v>1141</v>
      </c>
      <c r="L72" s="683">
        <v>118</v>
      </c>
      <c r="M72" s="684">
        <v>198</v>
      </c>
      <c r="N72" s="685">
        <v>1.756</v>
      </c>
      <c r="O72" s="685">
        <v>17.98</v>
      </c>
      <c r="P72" s="677" t="s">
        <v>1167</v>
      </c>
      <c r="Q72" s="686">
        <v>97.6</v>
      </c>
      <c r="R72" s="680">
        <v>22930</v>
      </c>
      <c r="S72" s="680">
        <v>1479</v>
      </c>
      <c r="T72" s="683">
        <v>1628</v>
      </c>
      <c r="U72" s="687">
        <v>13.58</v>
      </c>
      <c r="V72" s="682">
        <v>41.13</v>
      </c>
      <c r="W72" s="683">
        <v>6985</v>
      </c>
      <c r="X72" s="680">
        <v>465.7</v>
      </c>
      <c r="Y72" s="680">
        <v>709.7</v>
      </c>
      <c r="Z72" s="682">
        <v>7.49</v>
      </c>
      <c r="AA72" s="687">
        <v>71.63</v>
      </c>
      <c r="AB72" s="687">
        <v>108</v>
      </c>
      <c r="AC72" s="717">
        <v>1512</v>
      </c>
      <c r="AD72" s="689">
        <v>1</v>
      </c>
      <c r="AE72" s="689">
        <v>3</v>
      </c>
      <c r="AF72" s="690">
        <v>3</v>
      </c>
      <c r="AG72" s="689">
        <v>1</v>
      </c>
      <c r="AH72" s="689">
        <v>3</v>
      </c>
      <c r="AI72" s="691">
        <v>3</v>
      </c>
      <c r="AJ72" s="679" t="s">
        <v>1155</v>
      </c>
    </row>
    <row r="73" spans="1:36" s="692" customFormat="1" ht="13.5" customHeight="1">
      <c r="A73" s="662" t="s">
        <v>1168</v>
      </c>
      <c r="B73" s="663">
        <v>127</v>
      </c>
      <c r="C73" s="664">
        <v>320</v>
      </c>
      <c r="D73" s="664">
        <v>300</v>
      </c>
      <c r="E73" s="665">
        <v>11.5</v>
      </c>
      <c r="F73" s="665">
        <v>20.5</v>
      </c>
      <c r="G73" s="666">
        <v>27</v>
      </c>
      <c r="H73" s="667">
        <v>161.30000000000001</v>
      </c>
      <c r="I73" s="664">
        <v>279</v>
      </c>
      <c r="J73" s="664">
        <v>225</v>
      </c>
      <c r="K73" s="664" t="s">
        <v>1141</v>
      </c>
      <c r="L73" s="668">
        <v>122</v>
      </c>
      <c r="M73" s="669">
        <v>198</v>
      </c>
      <c r="N73" s="670">
        <v>1.7709999999999999</v>
      </c>
      <c r="O73" s="670">
        <v>13.98</v>
      </c>
      <c r="P73" s="662" t="s">
        <v>1168</v>
      </c>
      <c r="Q73" s="663">
        <v>127</v>
      </c>
      <c r="R73" s="665">
        <v>30820</v>
      </c>
      <c r="S73" s="668">
        <v>1926</v>
      </c>
      <c r="T73" s="668">
        <v>2149</v>
      </c>
      <c r="U73" s="671">
        <v>13.82</v>
      </c>
      <c r="V73" s="667">
        <v>51.77</v>
      </c>
      <c r="W73" s="668">
        <v>9239</v>
      </c>
      <c r="X73" s="665">
        <v>615.9</v>
      </c>
      <c r="Y73" s="665">
        <v>939.1</v>
      </c>
      <c r="Z73" s="667">
        <v>7.57</v>
      </c>
      <c r="AA73" s="671">
        <v>84.13</v>
      </c>
      <c r="AB73" s="671">
        <v>225.1</v>
      </c>
      <c r="AC73" s="718">
        <v>2069</v>
      </c>
      <c r="AD73" s="673">
        <v>1</v>
      </c>
      <c r="AE73" s="673">
        <v>1</v>
      </c>
      <c r="AF73" s="674">
        <v>2</v>
      </c>
      <c r="AG73" s="673">
        <v>1</v>
      </c>
      <c r="AH73" s="673">
        <v>1</v>
      </c>
      <c r="AI73" s="675">
        <v>2</v>
      </c>
      <c r="AJ73" s="664" t="s">
        <v>1155</v>
      </c>
    </row>
    <row r="74" spans="1:36" s="628" customFormat="1" ht="13.5" customHeight="1">
      <c r="A74" s="677" t="s">
        <v>1169</v>
      </c>
      <c r="B74" s="704">
        <v>245</v>
      </c>
      <c r="C74" s="679">
        <v>359</v>
      </c>
      <c r="D74" s="679">
        <v>309</v>
      </c>
      <c r="E74" s="680">
        <v>21</v>
      </c>
      <c r="F74" s="680">
        <v>40</v>
      </c>
      <c r="G74" s="681">
        <v>27</v>
      </c>
      <c r="H74" s="682">
        <v>312</v>
      </c>
      <c r="I74" s="679">
        <v>279</v>
      </c>
      <c r="J74" s="679">
        <v>225</v>
      </c>
      <c r="K74" s="679" t="s">
        <v>1141</v>
      </c>
      <c r="L74" s="683">
        <v>132</v>
      </c>
      <c r="M74" s="684">
        <v>204</v>
      </c>
      <c r="N74" s="685">
        <v>1.8660000000000001</v>
      </c>
      <c r="O74" s="685">
        <v>7.6159999999999997</v>
      </c>
      <c r="P74" s="677" t="s">
        <v>1169</v>
      </c>
      <c r="Q74" s="686">
        <v>245</v>
      </c>
      <c r="R74" s="680">
        <v>68130</v>
      </c>
      <c r="S74" s="683">
        <v>3796</v>
      </c>
      <c r="T74" s="683">
        <v>4435</v>
      </c>
      <c r="U74" s="687">
        <v>14.78</v>
      </c>
      <c r="V74" s="682">
        <v>94.85</v>
      </c>
      <c r="W74" s="683">
        <v>19710</v>
      </c>
      <c r="X74" s="680">
        <v>1276</v>
      </c>
      <c r="Y74" s="680">
        <v>1951</v>
      </c>
      <c r="Z74" s="682">
        <v>7.95</v>
      </c>
      <c r="AA74" s="687">
        <v>132.6</v>
      </c>
      <c r="AB74" s="687">
        <v>1501</v>
      </c>
      <c r="AC74" s="717">
        <v>5004</v>
      </c>
      <c r="AD74" s="689">
        <v>1</v>
      </c>
      <c r="AE74" s="689">
        <v>1</v>
      </c>
      <c r="AF74" s="690">
        <v>1</v>
      </c>
      <c r="AG74" s="689">
        <v>1</v>
      </c>
      <c r="AH74" s="689">
        <v>1</v>
      </c>
      <c r="AI74" s="691">
        <v>1</v>
      </c>
      <c r="AJ74" s="679" t="s">
        <v>1155</v>
      </c>
    </row>
    <row r="75" spans="1:36" s="628" customFormat="1" ht="13.5" customHeight="1">
      <c r="A75" s="677"/>
      <c r="B75" s="704"/>
      <c r="C75" s="679"/>
      <c r="D75" s="679"/>
      <c r="E75" s="680"/>
      <c r="F75" s="680"/>
      <c r="G75" s="681"/>
      <c r="H75" s="682"/>
      <c r="I75" s="679"/>
      <c r="J75" s="679"/>
      <c r="K75" s="679"/>
      <c r="L75" s="683"/>
      <c r="M75" s="684"/>
      <c r="N75" s="685"/>
      <c r="O75" s="685"/>
      <c r="P75" s="677"/>
      <c r="Q75" s="686"/>
      <c r="R75" s="680"/>
      <c r="S75" s="683"/>
      <c r="T75" s="683"/>
      <c r="U75" s="687"/>
      <c r="V75" s="682"/>
      <c r="W75" s="683"/>
      <c r="X75" s="680"/>
      <c r="Y75" s="680"/>
      <c r="Z75" s="682"/>
      <c r="AA75" s="687"/>
      <c r="AB75" s="687"/>
      <c r="AC75" s="717"/>
      <c r="AD75" s="689"/>
      <c r="AE75" s="689"/>
      <c r="AF75" s="690"/>
      <c r="AG75" s="689"/>
      <c r="AH75" s="689"/>
      <c r="AI75" s="691"/>
      <c r="AJ75" s="679"/>
    </row>
    <row r="76" spans="1:36" s="692" customFormat="1" ht="13.5" customHeight="1">
      <c r="A76" s="662" t="s">
        <v>1170</v>
      </c>
      <c r="B76" s="663">
        <v>78.900000000000006</v>
      </c>
      <c r="C76" s="664">
        <v>320</v>
      </c>
      <c r="D76" s="664">
        <v>300</v>
      </c>
      <c r="E76" s="665">
        <v>8.5</v>
      </c>
      <c r="F76" s="665">
        <v>11.5</v>
      </c>
      <c r="G76" s="666">
        <v>27</v>
      </c>
      <c r="H76" s="667">
        <v>100.5</v>
      </c>
      <c r="I76" s="664">
        <v>297</v>
      </c>
      <c r="J76" s="664">
        <v>243</v>
      </c>
      <c r="K76" s="664" t="s">
        <v>1141</v>
      </c>
      <c r="L76" s="668">
        <v>118</v>
      </c>
      <c r="M76" s="669">
        <v>198</v>
      </c>
      <c r="N76" s="670">
        <v>1.7769999999999999</v>
      </c>
      <c r="O76" s="670">
        <v>22.52</v>
      </c>
      <c r="P76" s="662" t="s">
        <v>1170</v>
      </c>
      <c r="Q76" s="663">
        <v>78.900000000000006</v>
      </c>
      <c r="R76" s="665">
        <v>19550</v>
      </c>
      <c r="S76" s="668">
        <v>1222</v>
      </c>
      <c r="T76" s="668">
        <v>1341</v>
      </c>
      <c r="U76" s="671">
        <v>13.95</v>
      </c>
      <c r="V76" s="667">
        <v>38.69</v>
      </c>
      <c r="W76" s="668">
        <v>5185</v>
      </c>
      <c r="X76" s="665">
        <v>345.6</v>
      </c>
      <c r="Y76" s="665">
        <v>529.29999999999995</v>
      </c>
      <c r="Z76" s="667">
        <v>7.18</v>
      </c>
      <c r="AA76" s="671">
        <v>63.13</v>
      </c>
      <c r="AB76" s="671">
        <v>63.07</v>
      </c>
      <c r="AC76" s="718">
        <v>1231</v>
      </c>
      <c r="AD76" s="673">
        <v>3</v>
      </c>
      <c r="AE76" s="673">
        <v>4</v>
      </c>
      <c r="AF76" s="674" t="s">
        <v>600</v>
      </c>
      <c r="AG76" s="673">
        <v>3</v>
      </c>
      <c r="AH76" s="673">
        <v>4</v>
      </c>
      <c r="AI76" s="675" t="s">
        <v>600</v>
      </c>
      <c r="AJ76" s="664"/>
    </row>
    <row r="77" spans="1:36" s="628" customFormat="1" ht="13.5" customHeight="1">
      <c r="A77" s="677" t="s">
        <v>1171</v>
      </c>
      <c r="B77" s="678">
        <v>105</v>
      </c>
      <c r="C77" s="679">
        <v>330</v>
      </c>
      <c r="D77" s="679">
        <v>300</v>
      </c>
      <c r="E77" s="680">
        <v>9.5</v>
      </c>
      <c r="F77" s="680">
        <v>16.5</v>
      </c>
      <c r="G77" s="681">
        <v>27</v>
      </c>
      <c r="H77" s="682">
        <v>133.5</v>
      </c>
      <c r="I77" s="679">
        <v>297</v>
      </c>
      <c r="J77" s="679">
        <v>243</v>
      </c>
      <c r="K77" s="679" t="s">
        <v>1141</v>
      </c>
      <c r="L77" s="683">
        <v>118</v>
      </c>
      <c r="M77" s="684">
        <v>198</v>
      </c>
      <c r="N77" s="685">
        <v>1.7949999999999999</v>
      </c>
      <c r="O77" s="685">
        <v>17.13</v>
      </c>
      <c r="P77" s="677" t="s">
        <v>1171</v>
      </c>
      <c r="Q77" s="686">
        <v>105</v>
      </c>
      <c r="R77" s="680">
        <v>27690</v>
      </c>
      <c r="S77" s="683">
        <v>1678</v>
      </c>
      <c r="T77" s="683">
        <v>1850</v>
      </c>
      <c r="U77" s="687">
        <v>14.4</v>
      </c>
      <c r="V77" s="682">
        <v>44.95</v>
      </c>
      <c r="W77" s="683">
        <v>7436</v>
      </c>
      <c r="X77" s="680">
        <v>495.7</v>
      </c>
      <c r="Y77" s="680">
        <v>755.9</v>
      </c>
      <c r="Z77" s="682">
        <v>7.46</v>
      </c>
      <c r="AA77" s="687">
        <v>74.13</v>
      </c>
      <c r="AB77" s="687">
        <v>127.2</v>
      </c>
      <c r="AC77" s="717">
        <v>1824</v>
      </c>
      <c r="AD77" s="689">
        <v>1</v>
      </c>
      <c r="AE77" s="689">
        <v>3</v>
      </c>
      <c r="AF77" s="690">
        <v>3</v>
      </c>
      <c r="AG77" s="689">
        <v>1</v>
      </c>
      <c r="AH77" s="689">
        <v>3</v>
      </c>
      <c r="AI77" s="691">
        <v>3</v>
      </c>
      <c r="AJ77" s="679" t="s">
        <v>1155</v>
      </c>
    </row>
    <row r="78" spans="1:36" s="692" customFormat="1" ht="13.5" customHeight="1">
      <c r="A78" s="662" t="s">
        <v>1172</v>
      </c>
      <c r="B78" s="669">
        <v>134</v>
      </c>
      <c r="C78" s="664">
        <v>340</v>
      </c>
      <c r="D78" s="664">
        <v>300</v>
      </c>
      <c r="E78" s="665">
        <v>12</v>
      </c>
      <c r="F78" s="665">
        <v>21.5</v>
      </c>
      <c r="G78" s="666">
        <v>27</v>
      </c>
      <c r="H78" s="667">
        <v>170.9</v>
      </c>
      <c r="I78" s="664">
        <v>297</v>
      </c>
      <c r="J78" s="664">
        <v>243</v>
      </c>
      <c r="K78" s="664" t="s">
        <v>1141</v>
      </c>
      <c r="L78" s="668">
        <v>122</v>
      </c>
      <c r="M78" s="669">
        <v>198</v>
      </c>
      <c r="N78" s="670">
        <v>1.81</v>
      </c>
      <c r="O78" s="670">
        <v>13.49</v>
      </c>
      <c r="P78" s="662" t="s">
        <v>1172</v>
      </c>
      <c r="Q78" s="663">
        <v>134</v>
      </c>
      <c r="R78" s="665">
        <v>36660</v>
      </c>
      <c r="S78" s="668">
        <v>2156</v>
      </c>
      <c r="T78" s="668">
        <v>2408</v>
      </c>
      <c r="U78" s="671">
        <v>14.65</v>
      </c>
      <c r="V78" s="667">
        <v>56.09</v>
      </c>
      <c r="W78" s="668">
        <v>9690</v>
      </c>
      <c r="X78" s="665">
        <v>646</v>
      </c>
      <c r="Y78" s="665">
        <v>985.7</v>
      </c>
      <c r="Z78" s="667">
        <v>7.53</v>
      </c>
      <c r="AA78" s="671">
        <v>86.63</v>
      </c>
      <c r="AB78" s="671">
        <v>257.2</v>
      </c>
      <c r="AC78" s="718">
        <v>2454</v>
      </c>
      <c r="AD78" s="673">
        <v>1</v>
      </c>
      <c r="AE78" s="673">
        <v>1</v>
      </c>
      <c r="AF78" s="674">
        <v>1</v>
      </c>
      <c r="AG78" s="673">
        <v>1</v>
      </c>
      <c r="AH78" s="673">
        <v>1</v>
      </c>
      <c r="AI78" s="675">
        <v>1</v>
      </c>
      <c r="AJ78" s="664" t="s">
        <v>1155</v>
      </c>
    </row>
    <row r="79" spans="1:36" s="628" customFormat="1" ht="13.5" customHeight="1">
      <c r="A79" s="677" t="s">
        <v>1173</v>
      </c>
      <c r="B79" s="704">
        <v>248</v>
      </c>
      <c r="C79" s="679">
        <v>377</v>
      </c>
      <c r="D79" s="679">
        <v>309</v>
      </c>
      <c r="E79" s="680">
        <v>21</v>
      </c>
      <c r="F79" s="680">
        <v>40</v>
      </c>
      <c r="G79" s="681">
        <v>27</v>
      </c>
      <c r="H79" s="682">
        <v>315.8</v>
      </c>
      <c r="I79" s="679">
        <v>297</v>
      </c>
      <c r="J79" s="679">
        <v>243</v>
      </c>
      <c r="K79" s="679" t="s">
        <v>1141</v>
      </c>
      <c r="L79" s="683">
        <v>132</v>
      </c>
      <c r="M79" s="684">
        <v>204</v>
      </c>
      <c r="N79" s="685">
        <v>1.9019999999999999</v>
      </c>
      <c r="O79" s="685">
        <v>7.67</v>
      </c>
      <c r="P79" s="677" t="s">
        <v>1173</v>
      </c>
      <c r="Q79" s="686">
        <v>248</v>
      </c>
      <c r="R79" s="680">
        <v>76370</v>
      </c>
      <c r="S79" s="683">
        <v>4052</v>
      </c>
      <c r="T79" s="683">
        <v>4718</v>
      </c>
      <c r="U79" s="687">
        <v>15.55</v>
      </c>
      <c r="V79" s="682">
        <v>98.63</v>
      </c>
      <c r="W79" s="683">
        <v>19710</v>
      </c>
      <c r="X79" s="680">
        <v>1276</v>
      </c>
      <c r="Y79" s="680">
        <v>1953</v>
      </c>
      <c r="Z79" s="682">
        <v>7.9</v>
      </c>
      <c r="AA79" s="687">
        <v>132.6</v>
      </c>
      <c r="AB79" s="687">
        <v>1506</v>
      </c>
      <c r="AC79" s="717">
        <v>5584</v>
      </c>
      <c r="AD79" s="689">
        <v>1</v>
      </c>
      <c r="AE79" s="689">
        <v>1</v>
      </c>
      <c r="AF79" s="690">
        <v>1</v>
      </c>
      <c r="AG79" s="689">
        <v>1</v>
      </c>
      <c r="AH79" s="689">
        <v>1</v>
      </c>
      <c r="AI79" s="691">
        <v>1</v>
      </c>
      <c r="AJ79" s="679" t="s">
        <v>1155</v>
      </c>
    </row>
    <row r="80" spans="1:36" s="628" customFormat="1" ht="13.5" customHeight="1">
      <c r="A80" s="677"/>
      <c r="B80" s="678"/>
      <c r="C80" s="679"/>
      <c r="D80" s="679"/>
      <c r="E80" s="680"/>
      <c r="F80" s="680"/>
      <c r="G80" s="681"/>
      <c r="H80" s="682"/>
      <c r="I80" s="679"/>
      <c r="J80" s="679"/>
      <c r="K80" s="679"/>
      <c r="L80" s="683"/>
      <c r="M80" s="684"/>
      <c r="N80" s="685"/>
      <c r="O80" s="685"/>
      <c r="P80" s="677"/>
      <c r="Q80" s="686"/>
      <c r="R80" s="680"/>
      <c r="S80" s="683"/>
      <c r="T80" s="683"/>
      <c r="U80" s="687"/>
      <c r="V80" s="682"/>
      <c r="W80" s="683"/>
      <c r="X80" s="680"/>
      <c r="Y80" s="680"/>
      <c r="Z80" s="682"/>
      <c r="AA80" s="687"/>
      <c r="AB80" s="687"/>
      <c r="AC80" s="717"/>
      <c r="AD80" s="689"/>
      <c r="AE80" s="689"/>
      <c r="AF80" s="690"/>
      <c r="AG80" s="689"/>
      <c r="AH80" s="689"/>
      <c r="AI80" s="691"/>
      <c r="AJ80" s="679"/>
    </row>
    <row r="81" spans="1:36" s="692" customFormat="1" ht="13.5" customHeight="1">
      <c r="A81" s="662" t="s">
        <v>1174</v>
      </c>
      <c r="B81" s="669">
        <v>83.7</v>
      </c>
      <c r="C81" s="664">
        <v>339</v>
      </c>
      <c r="D81" s="664">
        <v>300</v>
      </c>
      <c r="E81" s="665">
        <v>9</v>
      </c>
      <c r="F81" s="665">
        <v>12</v>
      </c>
      <c r="G81" s="666">
        <v>27</v>
      </c>
      <c r="H81" s="667">
        <v>106.6</v>
      </c>
      <c r="I81" s="664">
        <v>315</v>
      </c>
      <c r="J81" s="664">
        <v>261</v>
      </c>
      <c r="K81" s="664" t="s">
        <v>1141</v>
      </c>
      <c r="L81" s="668">
        <v>118</v>
      </c>
      <c r="M81" s="669">
        <v>198</v>
      </c>
      <c r="N81" s="670">
        <v>1.8140000000000001</v>
      </c>
      <c r="O81" s="670">
        <v>21.67</v>
      </c>
      <c r="P81" s="662" t="s">
        <v>1174</v>
      </c>
      <c r="Q81" s="663">
        <v>83.7</v>
      </c>
      <c r="R81" s="665">
        <v>23040</v>
      </c>
      <c r="S81" s="668">
        <v>1359</v>
      </c>
      <c r="T81" s="668">
        <v>1495</v>
      </c>
      <c r="U81" s="671">
        <v>14.7</v>
      </c>
      <c r="V81" s="667">
        <v>42.17</v>
      </c>
      <c r="W81" s="668">
        <v>5410</v>
      </c>
      <c r="X81" s="665">
        <v>360.7</v>
      </c>
      <c r="Y81" s="665">
        <v>553</v>
      </c>
      <c r="Z81" s="667">
        <v>7.12</v>
      </c>
      <c r="AA81" s="671">
        <v>64.63</v>
      </c>
      <c r="AB81" s="671">
        <v>70.989999999999995</v>
      </c>
      <c r="AC81" s="718">
        <v>1444</v>
      </c>
      <c r="AD81" s="673">
        <v>3</v>
      </c>
      <c r="AE81" s="673">
        <v>4</v>
      </c>
      <c r="AF81" s="674" t="s">
        <v>600</v>
      </c>
      <c r="AG81" s="673">
        <v>3</v>
      </c>
      <c r="AH81" s="673">
        <v>4</v>
      </c>
      <c r="AI81" s="675" t="s">
        <v>600</v>
      </c>
      <c r="AJ81" s="664"/>
    </row>
    <row r="82" spans="1:36" s="628" customFormat="1" ht="13.5" customHeight="1">
      <c r="A82" s="677" t="s">
        <v>1175</v>
      </c>
      <c r="B82" s="704">
        <v>112</v>
      </c>
      <c r="C82" s="679">
        <v>350</v>
      </c>
      <c r="D82" s="679">
        <v>300</v>
      </c>
      <c r="E82" s="680">
        <v>10</v>
      </c>
      <c r="F82" s="680">
        <v>17.5</v>
      </c>
      <c r="G82" s="681">
        <v>27</v>
      </c>
      <c r="H82" s="682">
        <v>142.80000000000001</v>
      </c>
      <c r="I82" s="679">
        <v>315</v>
      </c>
      <c r="J82" s="679">
        <v>261</v>
      </c>
      <c r="K82" s="679" t="s">
        <v>1141</v>
      </c>
      <c r="L82" s="683">
        <v>120</v>
      </c>
      <c r="M82" s="684">
        <v>198</v>
      </c>
      <c r="N82" s="685">
        <v>1.8340000000000001</v>
      </c>
      <c r="O82" s="685">
        <v>16.36</v>
      </c>
      <c r="P82" s="677" t="s">
        <v>1175</v>
      </c>
      <c r="Q82" s="686">
        <v>112</v>
      </c>
      <c r="R82" s="680">
        <v>33090</v>
      </c>
      <c r="S82" s="683">
        <v>1891</v>
      </c>
      <c r="T82" s="683">
        <v>2088</v>
      </c>
      <c r="U82" s="687">
        <v>15.22</v>
      </c>
      <c r="V82" s="682">
        <v>48.96</v>
      </c>
      <c r="W82" s="683">
        <v>7887</v>
      </c>
      <c r="X82" s="680">
        <v>525.79999999999995</v>
      </c>
      <c r="Y82" s="680">
        <v>802.3</v>
      </c>
      <c r="Z82" s="682">
        <v>7.43</v>
      </c>
      <c r="AA82" s="687">
        <v>76.63</v>
      </c>
      <c r="AB82" s="687">
        <v>148.80000000000001</v>
      </c>
      <c r="AC82" s="717">
        <v>2177</v>
      </c>
      <c r="AD82" s="689">
        <v>1</v>
      </c>
      <c r="AE82" s="689">
        <v>2</v>
      </c>
      <c r="AF82" s="690">
        <v>3</v>
      </c>
      <c r="AG82" s="689">
        <v>1</v>
      </c>
      <c r="AH82" s="689">
        <v>2</v>
      </c>
      <c r="AI82" s="691">
        <v>3</v>
      </c>
      <c r="AJ82" s="679" t="s">
        <v>1155</v>
      </c>
    </row>
    <row r="83" spans="1:36" s="692" customFormat="1" ht="13.5" customHeight="1">
      <c r="A83" s="662" t="s">
        <v>1176</v>
      </c>
      <c r="B83" s="669">
        <v>142</v>
      </c>
      <c r="C83" s="664">
        <v>360</v>
      </c>
      <c r="D83" s="664">
        <v>300</v>
      </c>
      <c r="E83" s="665">
        <v>12.5</v>
      </c>
      <c r="F83" s="665">
        <v>22.5</v>
      </c>
      <c r="G83" s="666">
        <v>27</v>
      </c>
      <c r="H83" s="667">
        <v>180.6</v>
      </c>
      <c r="I83" s="664">
        <v>315</v>
      </c>
      <c r="J83" s="664">
        <v>261</v>
      </c>
      <c r="K83" s="664" t="s">
        <v>1141</v>
      </c>
      <c r="L83" s="668">
        <v>122</v>
      </c>
      <c r="M83" s="669">
        <v>198</v>
      </c>
      <c r="N83" s="670">
        <v>1.849</v>
      </c>
      <c r="O83" s="670">
        <v>13.04</v>
      </c>
      <c r="P83" s="662" t="s">
        <v>1176</v>
      </c>
      <c r="Q83" s="663">
        <v>142</v>
      </c>
      <c r="R83" s="665">
        <v>43190</v>
      </c>
      <c r="S83" s="668">
        <v>2400</v>
      </c>
      <c r="T83" s="668">
        <v>2683</v>
      </c>
      <c r="U83" s="671">
        <v>15.46</v>
      </c>
      <c r="V83" s="667">
        <v>60.6</v>
      </c>
      <c r="W83" s="668">
        <v>10140</v>
      </c>
      <c r="X83" s="665">
        <v>676.1</v>
      </c>
      <c r="Y83" s="665">
        <v>1032</v>
      </c>
      <c r="Z83" s="667">
        <v>7.49</v>
      </c>
      <c r="AA83" s="671">
        <v>89.13</v>
      </c>
      <c r="AB83" s="671">
        <v>292.5</v>
      </c>
      <c r="AC83" s="718">
        <v>2883</v>
      </c>
      <c r="AD83" s="673">
        <v>1</v>
      </c>
      <c r="AE83" s="673">
        <v>1</v>
      </c>
      <c r="AF83" s="674">
        <v>1</v>
      </c>
      <c r="AG83" s="673">
        <v>1</v>
      </c>
      <c r="AH83" s="673">
        <v>1</v>
      </c>
      <c r="AI83" s="675">
        <v>1</v>
      </c>
      <c r="AJ83" s="664" t="s">
        <v>1155</v>
      </c>
    </row>
    <row r="84" spans="1:36" s="628" customFormat="1" ht="13.5" customHeight="1">
      <c r="A84" s="677" t="s">
        <v>1177</v>
      </c>
      <c r="B84" s="678">
        <v>250</v>
      </c>
      <c r="C84" s="679">
        <v>395</v>
      </c>
      <c r="D84" s="679">
        <v>308</v>
      </c>
      <c r="E84" s="680">
        <v>21</v>
      </c>
      <c r="F84" s="680">
        <v>40</v>
      </c>
      <c r="G84" s="681">
        <v>27</v>
      </c>
      <c r="H84" s="682">
        <v>318.8</v>
      </c>
      <c r="I84" s="679">
        <v>315</v>
      </c>
      <c r="J84" s="679">
        <v>261</v>
      </c>
      <c r="K84" s="679" t="s">
        <v>1141</v>
      </c>
      <c r="L84" s="683">
        <v>132</v>
      </c>
      <c r="M84" s="684">
        <v>204</v>
      </c>
      <c r="N84" s="685">
        <v>1.9339999999999999</v>
      </c>
      <c r="O84" s="685">
        <v>7.73</v>
      </c>
      <c r="P84" s="677" t="s">
        <v>1177</v>
      </c>
      <c r="Q84" s="686">
        <v>250</v>
      </c>
      <c r="R84" s="680">
        <v>84870</v>
      </c>
      <c r="S84" s="683">
        <v>4297</v>
      </c>
      <c r="T84" s="683">
        <v>4989</v>
      </c>
      <c r="U84" s="687">
        <v>16.32</v>
      </c>
      <c r="V84" s="682">
        <v>102.4</v>
      </c>
      <c r="W84" s="683">
        <v>19520</v>
      </c>
      <c r="X84" s="680">
        <v>1268</v>
      </c>
      <c r="Y84" s="680">
        <v>1942</v>
      </c>
      <c r="Z84" s="682">
        <v>7.83</v>
      </c>
      <c r="AA84" s="687">
        <v>132.6</v>
      </c>
      <c r="AB84" s="687">
        <v>1507</v>
      </c>
      <c r="AC84" s="717">
        <v>6137</v>
      </c>
      <c r="AD84" s="689">
        <v>1</v>
      </c>
      <c r="AE84" s="689">
        <v>1</v>
      </c>
      <c r="AF84" s="690">
        <v>1</v>
      </c>
      <c r="AG84" s="689">
        <v>1</v>
      </c>
      <c r="AH84" s="689">
        <v>1</v>
      </c>
      <c r="AI84" s="691">
        <v>1</v>
      </c>
      <c r="AJ84" s="679" t="s">
        <v>1155</v>
      </c>
    </row>
    <row r="85" spans="1:36" s="628" customFormat="1" ht="13.5" customHeight="1">
      <c r="A85" s="677"/>
      <c r="B85" s="704"/>
      <c r="C85" s="679"/>
      <c r="D85" s="679"/>
      <c r="E85" s="680"/>
      <c r="F85" s="680"/>
      <c r="G85" s="681"/>
      <c r="H85" s="682"/>
      <c r="I85" s="679"/>
      <c r="J85" s="679"/>
      <c r="K85" s="679"/>
      <c r="L85" s="683"/>
      <c r="M85" s="684"/>
      <c r="N85" s="685"/>
      <c r="O85" s="685"/>
      <c r="P85" s="677"/>
      <c r="Q85" s="686"/>
      <c r="R85" s="680"/>
      <c r="S85" s="683"/>
      <c r="T85" s="683"/>
      <c r="U85" s="687"/>
      <c r="V85" s="682"/>
      <c r="W85" s="683"/>
      <c r="X85" s="680"/>
      <c r="Y85" s="680"/>
      <c r="Z85" s="682"/>
      <c r="AA85" s="687"/>
      <c r="AB85" s="687"/>
      <c r="AC85" s="717"/>
      <c r="AD85" s="689"/>
      <c r="AE85" s="689"/>
      <c r="AF85" s="690"/>
      <c r="AG85" s="689"/>
      <c r="AH85" s="689"/>
      <c r="AI85" s="691"/>
      <c r="AJ85" s="679"/>
    </row>
    <row r="86" spans="1:36" s="692" customFormat="1" ht="13.5" customHeight="1">
      <c r="A86" s="662" t="s">
        <v>1178</v>
      </c>
      <c r="B86" s="669">
        <v>92.4</v>
      </c>
      <c r="C86" s="664">
        <v>378</v>
      </c>
      <c r="D86" s="664">
        <v>300</v>
      </c>
      <c r="E86" s="665">
        <v>9.5</v>
      </c>
      <c r="F86" s="665">
        <v>13</v>
      </c>
      <c r="G86" s="666">
        <v>27</v>
      </c>
      <c r="H86" s="667">
        <v>117.7</v>
      </c>
      <c r="I86" s="664">
        <v>352</v>
      </c>
      <c r="J86" s="664">
        <v>298</v>
      </c>
      <c r="K86" s="664" t="s">
        <v>1141</v>
      </c>
      <c r="L86" s="668">
        <v>118</v>
      </c>
      <c r="M86" s="669">
        <v>198</v>
      </c>
      <c r="N86" s="670">
        <v>1.891</v>
      </c>
      <c r="O86" s="670">
        <v>20.46</v>
      </c>
      <c r="P86" s="662" t="s">
        <v>1178</v>
      </c>
      <c r="Q86" s="663">
        <v>92.4</v>
      </c>
      <c r="R86" s="665">
        <v>31250</v>
      </c>
      <c r="S86" s="668">
        <v>1654</v>
      </c>
      <c r="T86" s="668">
        <v>1824</v>
      </c>
      <c r="U86" s="671">
        <v>16.3</v>
      </c>
      <c r="V86" s="667">
        <v>47.95</v>
      </c>
      <c r="W86" s="668">
        <v>5861</v>
      </c>
      <c r="X86" s="665">
        <v>390.8</v>
      </c>
      <c r="Y86" s="665">
        <v>599.70000000000005</v>
      </c>
      <c r="Z86" s="667">
        <v>7.06</v>
      </c>
      <c r="AA86" s="671">
        <v>67.13</v>
      </c>
      <c r="AB86" s="671">
        <v>84.69</v>
      </c>
      <c r="AC86" s="718">
        <v>1948</v>
      </c>
      <c r="AD86" s="673">
        <v>3</v>
      </c>
      <c r="AE86" s="673">
        <v>3</v>
      </c>
      <c r="AF86" s="674" t="s">
        <v>600</v>
      </c>
      <c r="AG86" s="673">
        <v>3</v>
      </c>
      <c r="AH86" s="673">
        <v>3</v>
      </c>
      <c r="AI86" s="675" t="s">
        <v>600</v>
      </c>
      <c r="AJ86" s="664"/>
    </row>
    <row r="87" spans="1:36" s="628" customFormat="1" ht="13.5" customHeight="1">
      <c r="A87" s="677" t="s">
        <v>1179</v>
      </c>
      <c r="B87" s="704">
        <v>125</v>
      </c>
      <c r="C87" s="679">
        <v>390</v>
      </c>
      <c r="D87" s="679">
        <v>300</v>
      </c>
      <c r="E87" s="680">
        <v>11</v>
      </c>
      <c r="F87" s="680">
        <v>19</v>
      </c>
      <c r="G87" s="681">
        <v>27</v>
      </c>
      <c r="H87" s="682">
        <v>159</v>
      </c>
      <c r="I87" s="679">
        <v>352</v>
      </c>
      <c r="J87" s="679">
        <v>298</v>
      </c>
      <c r="K87" s="679" t="s">
        <v>1141</v>
      </c>
      <c r="L87" s="683">
        <v>120</v>
      </c>
      <c r="M87" s="684">
        <v>198</v>
      </c>
      <c r="N87" s="685">
        <v>1.9119999999999999</v>
      </c>
      <c r="O87" s="685">
        <v>15.32</v>
      </c>
      <c r="P87" s="677" t="s">
        <v>1179</v>
      </c>
      <c r="Q87" s="686">
        <v>125</v>
      </c>
      <c r="R87" s="680">
        <v>45070</v>
      </c>
      <c r="S87" s="683">
        <v>2311</v>
      </c>
      <c r="T87" s="683">
        <v>2562</v>
      </c>
      <c r="U87" s="687">
        <v>16.84</v>
      </c>
      <c r="V87" s="682">
        <v>57.33</v>
      </c>
      <c r="W87" s="683">
        <v>8564</v>
      </c>
      <c r="X87" s="680">
        <v>570.9</v>
      </c>
      <c r="Y87" s="680">
        <v>872.9</v>
      </c>
      <c r="Z87" s="682">
        <v>7.34</v>
      </c>
      <c r="AA87" s="687">
        <v>80.63</v>
      </c>
      <c r="AB87" s="687">
        <v>189</v>
      </c>
      <c r="AC87" s="717">
        <v>2942</v>
      </c>
      <c r="AD87" s="689">
        <v>1</v>
      </c>
      <c r="AE87" s="689">
        <v>1</v>
      </c>
      <c r="AF87" s="690">
        <v>3</v>
      </c>
      <c r="AG87" s="689">
        <v>1</v>
      </c>
      <c r="AH87" s="689">
        <v>2</v>
      </c>
      <c r="AI87" s="691">
        <v>3</v>
      </c>
      <c r="AJ87" s="679" t="s">
        <v>1155</v>
      </c>
    </row>
    <row r="88" spans="1:36" s="692" customFormat="1" ht="13.5" customHeight="1">
      <c r="A88" s="662" t="s">
        <v>1180</v>
      </c>
      <c r="B88" s="663">
        <v>155</v>
      </c>
      <c r="C88" s="664">
        <v>400</v>
      </c>
      <c r="D88" s="664">
        <v>300</v>
      </c>
      <c r="E88" s="665">
        <v>13.5</v>
      </c>
      <c r="F88" s="665">
        <v>24</v>
      </c>
      <c r="G88" s="666">
        <v>27</v>
      </c>
      <c r="H88" s="667">
        <v>197.8</v>
      </c>
      <c r="I88" s="664">
        <v>352</v>
      </c>
      <c r="J88" s="664">
        <v>298</v>
      </c>
      <c r="K88" s="664" t="s">
        <v>1141</v>
      </c>
      <c r="L88" s="668">
        <v>124</v>
      </c>
      <c r="M88" s="669">
        <v>198</v>
      </c>
      <c r="N88" s="670">
        <v>1.927</v>
      </c>
      <c r="O88" s="670">
        <v>12.41</v>
      </c>
      <c r="P88" s="662" t="s">
        <v>1180</v>
      </c>
      <c r="Q88" s="663">
        <v>155</v>
      </c>
      <c r="R88" s="665">
        <v>57680</v>
      </c>
      <c r="S88" s="668">
        <v>2884</v>
      </c>
      <c r="T88" s="668">
        <v>3232</v>
      </c>
      <c r="U88" s="671">
        <v>17.079999999999998</v>
      </c>
      <c r="V88" s="667">
        <v>69.98</v>
      </c>
      <c r="W88" s="668">
        <v>10820</v>
      </c>
      <c r="X88" s="665">
        <v>721.3</v>
      </c>
      <c r="Y88" s="665">
        <v>1104</v>
      </c>
      <c r="Z88" s="667">
        <v>7.4</v>
      </c>
      <c r="AA88" s="671">
        <v>93.13</v>
      </c>
      <c r="AB88" s="671">
        <v>355.7</v>
      </c>
      <c r="AC88" s="718">
        <v>3817</v>
      </c>
      <c r="AD88" s="673">
        <v>1</v>
      </c>
      <c r="AE88" s="673">
        <v>1</v>
      </c>
      <c r="AF88" s="674">
        <v>1</v>
      </c>
      <c r="AG88" s="673">
        <v>1</v>
      </c>
      <c r="AH88" s="673">
        <v>1</v>
      </c>
      <c r="AI88" s="675">
        <v>1</v>
      </c>
      <c r="AJ88" s="664" t="s">
        <v>1155</v>
      </c>
    </row>
    <row r="89" spans="1:36" s="628" customFormat="1" ht="13.5" customHeight="1">
      <c r="A89" s="677" t="s">
        <v>1181</v>
      </c>
      <c r="B89" s="704">
        <v>256</v>
      </c>
      <c r="C89" s="679">
        <v>432</v>
      </c>
      <c r="D89" s="679">
        <v>307</v>
      </c>
      <c r="E89" s="680">
        <v>21</v>
      </c>
      <c r="F89" s="680">
        <v>40</v>
      </c>
      <c r="G89" s="681">
        <v>27</v>
      </c>
      <c r="H89" s="682">
        <v>325.8</v>
      </c>
      <c r="I89" s="679">
        <v>352</v>
      </c>
      <c r="J89" s="679">
        <v>298</v>
      </c>
      <c r="K89" s="679" t="s">
        <v>1141</v>
      </c>
      <c r="L89" s="683">
        <v>132</v>
      </c>
      <c r="M89" s="684">
        <v>202</v>
      </c>
      <c r="N89" s="685">
        <v>2.004</v>
      </c>
      <c r="O89" s="685">
        <v>7.835</v>
      </c>
      <c r="P89" s="677" t="s">
        <v>1181</v>
      </c>
      <c r="Q89" s="686">
        <v>256</v>
      </c>
      <c r="R89" s="680">
        <v>104100</v>
      </c>
      <c r="S89" s="683">
        <v>4820</v>
      </c>
      <c r="T89" s="683">
        <v>5571</v>
      </c>
      <c r="U89" s="687">
        <v>17.88</v>
      </c>
      <c r="V89" s="682">
        <v>110.2</v>
      </c>
      <c r="W89" s="683">
        <v>19340</v>
      </c>
      <c r="X89" s="680">
        <v>1260</v>
      </c>
      <c r="Y89" s="680">
        <v>1934</v>
      </c>
      <c r="Z89" s="682">
        <v>7.7</v>
      </c>
      <c r="AA89" s="687">
        <v>132.6</v>
      </c>
      <c r="AB89" s="687">
        <v>1515</v>
      </c>
      <c r="AC89" s="717">
        <v>7410</v>
      </c>
      <c r="AD89" s="689">
        <v>1</v>
      </c>
      <c r="AE89" s="689">
        <v>1</v>
      </c>
      <c r="AF89" s="690">
        <v>1</v>
      </c>
      <c r="AG89" s="689">
        <v>1</v>
      </c>
      <c r="AH89" s="689">
        <v>1</v>
      </c>
      <c r="AI89" s="691">
        <v>1</v>
      </c>
      <c r="AJ89" s="679" t="s">
        <v>1155</v>
      </c>
    </row>
    <row r="90" spans="1:36" s="628" customFormat="1" ht="13.5" customHeight="1">
      <c r="A90" s="677"/>
      <c r="B90" s="704"/>
      <c r="C90" s="679"/>
      <c r="D90" s="679"/>
      <c r="E90" s="680"/>
      <c r="F90" s="680"/>
      <c r="G90" s="681"/>
      <c r="H90" s="682"/>
      <c r="I90" s="679"/>
      <c r="J90" s="679"/>
      <c r="K90" s="679"/>
      <c r="L90" s="683"/>
      <c r="M90" s="684"/>
      <c r="N90" s="685"/>
      <c r="O90" s="685"/>
      <c r="P90" s="677"/>
      <c r="Q90" s="686"/>
      <c r="R90" s="680"/>
      <c r="S90" s="683"/>
      <c r="T90" s="683"/>
      <c r="U90" s="687"/>
      <c r="V90" s="682"/>
      <c r="W90" s="683"/>
      <c r="X90" s="680"/>
      <c r="Y90" s="680"/>
      <c r="Z90" s="682"/>
      <c r="AA90" s="687"/>
      <c r="AB90" s="687"/>
      <c r="AC90" s="717"/>
      <c r="AD90" s="689"/>
      <c r="AE90" s="689"/>
      <c r="AF90" s="690"/>
      <c r="AG90" s="689"/>
      <c r="AH90" s="689"/>
      <c r="AI90" s="691"/>
      <c r="AJ90" s="679"/>
    </row>
    <row r="91" spans="1:36" s="692" customFormat="1" ht="13.5" customHeight="1">
      <c r="A91" s="662" t="s">
        <v>1182</v>
      </c>
      <c r="B91" s="669">
        <v>99.7</v>
      </c>
      <c r="C91" s="664">
        <v>425</v>
      </c>
      <c r="D91" s="664">
        <v>300</v>
      </c>
      <c r="E91" s="665">
        <v>10</v>
      </c>
      <c r="F91" s="665">
        <v>13.5</v>
      </c>
      <c r="G91" s="666">
        <v>27</v>
      </c>
      <c r="H91" s="667">
        <v>127.1</v>
      </c>
      <c r="I91" s="664">
        <v>398</v>
      </c>
      <c r="J91" s="664">
        <v>344</v>
      </c>
      <c r="K91" s="664" t="s">
        <v>1141</v>
      </c>
      <c r="L91" s="668">
        <v>120</v>
      </c>
      <c r="M91" s="669">
        <v>198</v>
      </c>
      <c r="N91" s="670">
        <v>1.984</v>
      </c>
      <c r="O91" s="670">
        <v>19.89</v>
      </c>
      <c r="P91" s="662" t="s">
        <v>1182</v>
      </c>
      <c r="Q91" s="663">
        <v>99.7</v>
      </c>
      <c r="R91" s="665">
        <v>41890</v>
      </c>
      <c r="S91" s="668">
        <v>1971</v>
      </c>
      <c r="T91" s="668">
        <v>2183</v>
      </c>
      <c r="U91" s="671">
        <v>18.16</v>
      </c>
      <c r="V91" s="667">
        <v>54.7</v>
      </c>
      <c r="W91" s="668">
        <v>6088</v>
      </c>
      <c r="X91" s="665">
        <v>405.8</v>
      </c>
      <c r="Y91" s="665">
        <v>624.4</v>
      </c>
      <c r="Z91" s="667">
        <v>6.92</v>
      </c>
      <c r="AA91" s="671">
        <v>68.63</v>
      </c>
      <c r="AB91" s="671">
        <v>95.61</v>
      </c>
      <c r="AC91" s="718">
        <v>2572</v>
      </c>
      <c r="AD91" s="673">
        <v>3</v>
      </c>
      <c r="AE91" s="673">
        <v>3</v>
      </c>
      <c r="AF91" s="674" t="s">
        <v>600</v>
      </c>
      <c r="AG91" s="673">
        <v>3</v>
      </c>
      <c r="AH91" s="673">
        <v>4</v>
      </c>
      <c r="AI91" s="675" t="s">
        <v>600</v>
      </c>
      <c r="AJ91" s="664"/>
    </row>
    <row r="92" spans="1:36" s="628" customFormat="1" ht="13.5" customHeight="1">
      <c r="A92" s="677" t="s">
        <v>1183</v>
      </c>
      <c r="B92" s="678">
        <v>140</v>
      </c>
      <c r="C92" s="679">
        <v>440</v>
      </c>
      <c r="D92" s="679">
        <v>300</v>
      </c>
      <c r="E92" s="680">
        <v>11.5</v>
      </c>
      <c r="F92" s="680">
        <v>21</v>
      </c>
      <c r="G92" s="681">
        <v>27</v>
      </c>
      <c r="H92" s="682">
        <v>178</v>
      </c>
      <c r="I92" s="679">
        <v>398</v>
      </c>
      <c r="J92" s="679">
        <v>344</v>
      </c>
      <c r="K92" s="679" t="s">
        <v>1141</v>
      </c>
      <c r="L92" s="683">
        <v>122</v>
      </c>
      <c r="M92" s="684">
        <v>198</v>
      </c>
      <c r="N92" s="685">
        <v>2.0110000000000001</v>
      </c>
      <c r="O92" s="685">
        <v>14.39</v>
      </c>
      <c r="P92" s="677" t="s">
        <v>1183</v>
      </c>
      <c r="Q92" s="686">
        <v>140</v>
      </c>
      <c r="R92" s="680">
        <v>63720</v>
      </c>
      <c r="S92" s="683">
        <v>2896</v>
      </c>
      <c r="T92" s="683">
        <v>3216</v>
      </c>
      <c r="U92" s="687">
        <v>18.920000000000002</v>
      </c>
      <c r="V92" s="682">
        <v>65.78</v>
      </c>
      <c r="W92" s="683">
        <v>9465</v>
      </c>
      <c r="X92" s="680">
        <v>631</v>
      </c>
      <c r="Y92" s="680">
        <v>965.5</v>
      </c>
      <c r="Z92" s="682">
        <v>7.29</v>
      </c>
      <c r="AA92" s="687">
        <v>85.13</v>
      </c>
      <c r="AB92" s="687">
        <v>243.8</v>
      </c>
      <c r="AC92" s="717">
        <v>4148</v>
      </c>
      <c r="AD92" s="689">
        <v>1</v>
      </c>
      <c r="AE92" s="689">
        <v>1</v>
      </c>
      <c r="AF92" s="690">
        <v>1</v>
      </c>
      <c r="AG92" s="689">
        <v>1</v>
      </c>
      <c r="AH92" s="689">
        <v>2</v>
      </c>
      <c r="AI92" s="691">
        <v>3</v>
      </c>
      <c r="AJ92" s="679" t="s">
        <v>1155</v>
      </c>
    </row>
    <row r="93" spans="1:36" s="692" customFormat="1" ht="13.5" customHeight="1">
      <c r="A93" s="662" t="s">
        <v>1184</v>
      </c>
      <c r="B93" s="669">
        <v>171</v>
      </c>
      <c r="C93" s="664">
        <v>450</v>
      </c>
      <c r="D93" s="664">
        <v>300</v>
      </c>
      <c r="E93" s="665">
        <v>14</v>
      </c>
      <c r="F93" s="665">
        <v>26</v>
      </c>
      <c r="G93" s="666">
        <v>27</v>
      </c>
      <c r="H93" s="667">
        <v>218</v>
      </c>
      <c r="I93" s="664">
        <v>398</v>
      </c>
      <c r="J93" s="664">
        <v>344</v>
      </c>
      <c r="K93" s="664" t="s">
        <v>1141</v>
      </c>
      <c r="L93" s="668">
        <v>124</v>
      </c>
      <c r="M93" s="669">
        <v>198</v>
      </c>
      <c r="N93" s="670">
        <v>2.0259999999999998</v>
      </c>
      <c r="O93" s="670">
        <v>11.84</v>
      </c>
      <c r="P93" s="662" t="s">
        <v>1184</v>
      </c>
      <c r="Q93" s="663">
        <v>171</v>
      </c>
      <c r="R93" s="665">
        <v>79890</v>
      </c>
      <c r="S93" s="668">
        <v>3551</v>
      </c>
      <c r="T93" s="668">
        <v>3982</v>
      </c>
      <c r="U93" s="671">
        <v>19.14</v>
      </c>
      <c r="V93" s="667">
        <v>79.66</v>
      </c>
      <c r="W93" s="668">
        <v>11720</v>
      </c>
      <c r="X93" s="665">
        <v>781.4</v>
      </c>
      <c r="Y93" s="665">
        <v>1198</v>
      </c>
      <c r="Z93" s="667">
        <v>7.33</v>
      </c>
      <c r="AA93" s="671">
        <v>97.63</v>
      </c>
      <c r="AB93" s="671">
        <v>440.5</v>
      </c>
      <c r="AC93" s="718">
        <v>5258</v>
      </c>
      <c r="AD93" s="673">
        <v>1</v>
      </c>
      <c r="AE93" s="673">
        <v>1</v>
      </c>
      <c r="AF93" s="674">
        <v>1</v>
      </c>
      <c r="AG93" s="673">
        <v>1</v>
      </c>
      <c r="AH93" s="673">
        <v>1</v>
      </c>
      <c r="AI93" s="675">
        <v>2</v>
      </c>
      <c r="AJ93" s="664" t="s">
        <v>1155</v>
      </c>
    </row>
    <row r="94" spans="1:36" s="628" customFormat="1" ht="13.5" customHeight="1">
      <c r="A94" s="677" t="s">
        <v>1185</v>
      </c>
      <c r="B94" s="704">
        <v>263</v>
      </c>
      <c r="C94" s="679">
        <v>478</v>
      </c>
      <c r="D94" s="679">
        <v>307</v>
      </c>
      <c r="E94" s="680">
        <v>21</v>
      </c>
      <c r="F94" s="680">
        <v>40</v>
      </c>
      <c r="G94" s="681">
        <v>27</v>
      </c>
      <c r="H94" s="682">
        <v>335.4</v>
      </c>
      <c r="I94" s="679">
        <v>398</v>
      </c>
      <c r="J94" s="679">
        <v>344</v>
      </c>
      <c r="K94" s="679" t="s">
        <v>1141</v>
      </c>
      <c r="L94" s="683">
        <v>132</v>
      </c>
      <c r="M94" s="684">
        <v>202</v>
      </c>
      <c r="N94" s="685">
        <v>2.0960000000000001</v>
      </c>
      <c r="O94" s="685">
        <v>7.9589999999999996</v>
      </c>
      <c r="P94" s="677" t="s">
        <v>1185</v>
      </c>
      <c r="Q94" s="686">
        <v>263</v>
      </c>
      <c r="R94" s="680">
        <v>131500</v>
      </c>
      <c r="S94" s="683">
        <v>5501</v>
      </c>
      <c r="T94" s="683">
        <v>6331</v>
      </c>
      <c r="U94" s="687">
        <v>19.8</v>
      </c>
      <c r="V94" s="682">
        <v>119.8</v>
      </c>
      <c r="W94" s="683">
        <v>19340</v>
      </c>
      <c r="X94" s="680">
        <v>1260</v>
      </c>
      <c r="Y94" s="680">
        <v>1939</v>
      </c>
      <c r="Z94" s="682">
        <v>7.59</v>
      </c>
      <c r="AA94" s="687">
        <v>132.6</v>
      </c>
      <c r="AB94" s="687">
        <v>1529</v>
      </c>
      <c r="AC94" s="717">
        <v>9251</v>
      </c>
      <c r="AD94" s="689">
        <v>1</v>
      </c>
      <c r="AE94" s="689">
        <v>1</v>
      </c>
      <c r="AF94" s="690">
        <v>1</v>
      </c>
      <c r="AG94" s="689">
        <v>1</v>
      </c>
      <c r="AH94" s="689">
        <v>1</v>
      </c>
      <c r="AI94" s="691">
        <v>1</v>
      </c>
      <c r="AJ94" s="679" t="s">
        <v>1155</v>
      </c>
    </row>
    <row r="95" spans="1:36" s="628" customFormat="1" ht="13.5" customHeight="1">
      <c r="A95" s="677"/>
      <c r="B95" s="704"/>
      <c r="C95" s="679"/>
      <c r="D95" s="679"/>
      <c r="E95" s="680"/>
      <c r="F95" s="680"/>
      <c r="G95" s="681"/>
      <c r="H95" s="682"/>
      <c r="I95" s="679"/>
      <c r="J95" s="679"/>
      <c r="K95" s="679"/>
      <c r="L95" s="683"/>
      <c r="M95" s="684"/>
      <c r="N95" s="685"/>
      <c r="O95" s="685"/>
      <c r="P95" s="677"/>
      <c r="Q95" s="686"/>
      <c r="R95" s="680"/>
      <c r="S95" s="683"/>
      <c r="T95" s="683"/>
      <c r="U95" s="687"/>
      <c r="V95" s="682"/>
      <c r="W95" s="683"/>
      <c r="X95" s="680"/>
      <c r="Y95" s="680"/>
      <c r="Z95" s="682"/>
      <c r="AA95" s="687"/>
      <c r="AB95" s="687"/>
      <c r="AC95" s="717"/>
      <c r="AD95" s="689"/>
      <c r="AE95" s="689"/>
      <c r="AF95" s="690"/>
      <c r="AG95" s="689"/>
      <c r="AH95" s="689"/>
      <c r="AI95" s="691"/>
      <c r="AJ95" s="679"/>
    </row>
    <row r="96" spans="1:36" s="692" customFormat="1" ht="13.5" customHeight="1">
      <c r="A96" s="662" t="s">
        <v>1186</v>
      </c>
      <c r="B96" s="669">
        <v>107</v>
      </c>
      <c r="C96" s="664">
        <v>472</v>
      </c>
      <c r="D96" s="664">
        <v>300</v>
      </c>
      <c r="E96" s="665">
        <v>10.5</v>
      </c>
      <c r="F96" s="665">
        <v>14</v>
      </c>
      <c r="G96" s="666">
        <v>27</v>
      </c>
      <c r="H96" s="667">
        <v>136.9</v>
      </c>
      <c r="I96" s="664">
        <v>444</v>
      </c>
      <c r="J96" s="664">
        <v>390</v>
      </c>
      <c r="K96" s="664" t="s">
        <v>1141</v>
      </c>
      <c r="L96" s="668">
        <v>120</v>
      </c>
      <c r="M96" s="669">
        <v>198</v>
      </c>
      <c r="N96" s="670">
        <v>2.077</v>
      </c>
      <c r="O96" s="670">
        <v>19.329999999999998</v>
      </c>
      <c r="P96" s="662" t="s">
        <v>1186</v>
      </c>
      <c r="Q96" s="663">
        <v>107</v>
      </c>
      <c r="R96" s="665">
        <v>54640</v>
      </c>
      <c r="S96" s="668">
        <v>2315</v>
      </c>
      <c r="T96" s="668">
        <v>2576</v>
      </c>
      <c r="U96" s="671">
        <v>19.98</v>
      </c>
      <c r="V96" s="667">
        <v>61.91</v>
      </c>
      <c r="W96" s="668">
        <v>6314</v>
      </c>
      <c r="X96" s="665">
        <v>420.9</v>
      </c>
      <c r="Y96" s="665">
        <v>649.29999999999995</v>
      </c>
      <c r="Z96" s="667">
        <v>6.79</v>
      </c>
      <c r="AA96" s="671">
        <v>70.13</v>
      </c>
      <c r="AB96" s="671">
        <v>107.7</v>
      </c>
      <c r="AC96" s="718">
        <v>3304</v>
      </c>
      <c r="AD96" s="673">
        <v>2</v>
      </c>
      <c r="AE96" s="673">
        <v>3</v>
      </c>
      <c r="AF96" s="674" t="s">
        <v>600</v>
      </c>
      <c r="AG96" s="673">
        <v>2</v>
      </c>
      <c r="AH96" s="673">
        <v>4</v>
      </c>
      <c r="AI96" s="675" t="s">
        <v>600</v>
      </c>
      <c r="AJ96" s="664"/>
    </row>
    <row r="97" spans="1:36" s="628" customFormat="1" ht="13.5" customHeight="1">
      <c r="A97" s="677" t="s">
        <v>1187</v>
      </c>
      <c r="B97" s="704">
        <v>155</v>
      </c>
      <c r="C97" s="679">
        <v>490</v>
      </c>
      <c r="D97" s="679">
        <v>300</v>
      </c>
      <c r="E97" s="680">
        <v>12</v>
      </c>
      <c r="F97" s="680">
        <v>23</v>
      </c>
      <c r="G97" s="681">
        <v>27</v>
      </c>
      <c r="H97" s="682">
        <v>197.5</v>
      </c>
      <c r="I97" s="679">
        <v>444</v>
      </c>
      <c r="J97" s="679">
        <v>390</v>
      </c>
      <c r="K97" s="679" t="s">
        <v>1141</v>
      </c>
      <c r="L97" s="683">
        <v>122</v>
      </c>
      <c r="M97" s="684">
        <v>198</v>
      </c>
      <c r="N97" s="685">
        <v>2.11</v>
      </c>
      <c r="O97" s="685">
        <v>13.6</v>
      </c>
      <c r="P97" s="677" t="s">
        <v>1187</v>
      </c>
      <c r="Q97" s="686">
        <v>155</v>
      </c>
      <c r="R97" s="680">
        <v>86970</v>
      </c>
      <c r="S97" s="683">
        <v>3550</v>
      </c>
      <c r="T97" s="683">
        <v>3949</v>
      </c>
      <c r="U97" s="687">
        <v>20.98</v>
      </c>
      <c r="V97" s="682">
        <v>74.72</v>
      </c>
      <c r="W97" s="683">
        <v>10370</v>
      </c>
      <c r="X97" s="680">
        <v>691.1</v>
      </c>
      <c r="Y97" s="680">
        <v>1059</v>
      </c>
      <c r="Z97" s="682">
        <v>7.24</v>
      </c>
      <c r="AA97" s="687">
        <v>89.63</v>
      </c>
      <c r="AB97" s="687">
        <v>309.3</v>
      </c>
      <c r="AC97" s="717">
        <v>5643</v>
      </c>
      <c r="AD97" s="689">
        <v>1</v>
      </c>
      <c r="AE97" s="689">
        <v>1</v>
      </c>
      <c r="AF97" s="690">
        <v>1</v>
      </c>
      <c r="AG97" s="689">
        <v>1</v>
      </c>
      <c r="AH97" s="689">
        <v>3</v>
      </c>
      <c r="AI97" s="691">
        <v>4</v>
      </c>
      <c r="AJ97" s="679" t="s">
        <v>1155</v>
      </c>
    </row>
    <row r="98" spans="1:36" s="692" customFormat="1" ht="13.5" customHeight="1">
      <c r="A98" s="662" t="s">
        <v>1188</v>
      </c>
      <c r="B98" s="669">
        <v>187</v>
      </c>
      <c r="C98" s="664">
        <v>500</v>
      </c>
      <c r="D98" s="664">
        <v>300</v>
      </c>
      <c r="E98" s="665">
        <v>14.5</v>
      </c>
      <c r="F98" s="665">
        <v>28</v>
      </c>
      <c r="G98" s="666">
        <v>27</v>
      </c>
      <c r="H98" s="667">
        <v>238.6</v>
      </c>
      <c r="I98" s="664">
        <v>444</v>
      </c>
      <c r="J98" s="664">
        <v>390</v>
      </c>
      <c r="K98" s="664" t="s">
        <v>1141</v>
      </c>
      <c r="L98" s="668">
        <v>124</v>
      </c>
      <c r="M98" s="669">
        <v>198</v>
      </c>
      <c r="N98" s="670">
        <v>2.125</v>
      </c>
      <c r="O98" s="670">
        <v>11.34</v>
      </c>
      <c r="P98" s="662" t="s">
        <v>1188</v>
      </c>
      <c r="Q98" s="663">
        <v>187</v>
      </c>
      <c r="R98" s="665">
        <v>107200</v>
      </c>
      <c r="S98" s="668">
        <v>4287</v>
      </c>
      <c r="T98" s="668">
        <v>4815</v>
      </c>
      <c r="U98" s="671">
        <v>21.19</v>
      </c>
      <c r="V98" s="667">
        <v>89.82</v>
      </c>
      <c r="W98" s="668">
        <v>12620</v>
      </c>
      <c r="X98" s="665">
        <v>841.6</v>
      </c>
      <c r="Y98" s="665">
        <v>1292</v>
      </c>
      <c r="Z98" s="667">
        <v>7.27</v>
      </c>
      <c r="AA98" s="671">
        <v>102.1</v>
      </c>
      <c r="AB98" s="671">
        <v>538.4</v>
      </c>
      <c r="AC98" s="718">
        <v>7018</v>
      </c>
      <c r="AD98" s="673">
        <v>1</v>
      </c>
      <c r="AE98" s="673">
        <v>1</v>
      </c>
      <c r="AF98" s="674">
        <v>1</v>
      </c>
      <c r="AG98" s="673">
        <v>1</v>
      </c>
      <c r="AH98" s="673">
        <v>2</v>
      </c>
      <c r="AI98" s="675">
        <v>2</v>
      </c>
      <c r="AJ98" s="664" t="s">
        <v>1155</v>
      </c>
    </row>
    <row r="99" spans="1:36" s="628" customFormat="1" ht="13.5" customHeight="1">
      <c r="A99" s="677" t="s">
        <v>1189</v>
      </c>
      <c r="B99" s="704">
        <v>270</v>
      </c>
      <c r="C99" s="679">
        <v>524</v>
      </c>
      <c r="D99" s="679">
        <v>306</v>
      </c>
      <c r="E99" s="680">
        <v>21</v>
      </c>
      <c r="F99" s="680">
        <v>40</v>
      </c>
      <c r="G99" s="681">
        <v>27</v>
      </c>
      <c r="H99" s="682">
        <v>344.3</v>
      </c>
      <c r="I99" s="679">
        <v>444</v>
      </c>
      <c r="J99" s="679">
        <v>390</v>
      </c>
      <c r="K99" s="679" t="s">
        <v>1141</v>
      </c>
      <c r="L99" s="683">
        <v>132</v>
      </c>
      <c r="M99" s="684">
        <v>202</v>
      </c>
      <c r="N99" s="685">
        <v>2.1840000000000002</v>
      </c>
      <c r="O99" s="685">
        <v>8.0790000000000006</v>
      </c>
      <c r="P99" s="677" t="s">
        <v>1189</v>
      </c>
      <c r="Q99" s="686">
        <v>270</v>
      </c>
      <c r="R99" s="680">
        <v>161900</v>
      </c>
      <c r="S99" s="683">
        <v>6180</v>
      </c>
      <c r="T99" s="683">
        <v>7094</v>
      </c>
      <c r="U99" s="687">
        <v>21.69</v>
      </c>
      <c r="V99" s="682">
        <v>129.5</v>
      </c>
      <c r="W99" s="683">
        <v>19150</v>
      </c>
      <c r="X99" s="680">
        <v>1252</v>
      </c>
      <c r="Y99" s="680">
        <v>1932</v>
      </c>
      <c r="Z99" s="682">
        <v>7.46</v>
      </c>
      <c r="AA99" s="687">
        <v>132.6</v>
      </c>
      <c r="AB99" s="687">
        <v>1539</v>
      </c>
      <c r="AC99" s="717">
        <v>11190</v>
      </c>
      <c r="AD99" s="689">
        <v>1</v>
      </c>
      <c r="AE99" s="689">
        <v>1</v>
      </c>
      <c r="AF99" s="690">
        <v>1</v>
      </c>
      <c r="AG99" s="689">
        <v>1</v>
      </c>
      <c r="AH99" s="689">
        <v>1</v>
      </c>
      <c r="AI99" s="691">
        <v>1</v>
      </c>
      <c r="AJ99" s="679" t="s">
        <v>1155</v>
      </c>
    </row>
    <row r="100" spans="1:36" s="628" customFormat="1" ht="13.5" customHeight="1">
      <c r="A100" s="677"/>
      <c r="B100" s="704"/>
      <c r="C100" s="679"/>
      <c r="D100" s="679"/>
      <c r="E100" s="680"/>
      <c r="F100" s="680"/>
      <c r="G100" s="681"/>
      <c r="H100" s="682"/>
      <c r="I100" s="679"/>
      <c r="J100" s="679"/>
      <c r="K100" s="679"/>
      <c r="L100" s="683"/>
      <c r="M100" s="684"/>
      <c r="N100" s="685"/>
      <c r="O100" s="685"/>
      <c r="P100" s="677"/>
      <c r="Q100" s="686"/>
      <c r="R100" s="680"/>
      <c r="S100" s="683"/>
      <c r="T100" s="683"/>
      <c r="U100" s="687"/>
      <c r="V100" s="682"/>
      <c r="W100" s="683"/>
      <c r="X100" s="680"/>
      <c r="Y100" s="680"/>
      <c r="Z100" s="682"/>
      <c r="AA100" s="687"/>
      <c r="AB100" s="687"/>
      <c r="AC100" s="717"/>
      <c r="AD100" s="689"/>
      <c r="AE100" s="689"/>
      <c r="AF100" s="690"/>
      <c r="AG100" s="689"/>
      <c r="AH100" s="689"/>
      <c r="AI100" s="691"/>
      <c r="AJ100" s="679"/>
    </row>
    <row r="101" spans="1:36" s="692" customFormat="1" ht="13.5" customHeight="1">
      <c r="A101" s="662" t="s">
        <v>1190</v>
      </c>
      <c r="B101" s="669">
        <v>120</v>
      </c>
      <c r="C101" s="664">
        <v>522</v>
      </c>
      <c r="D101" s="664">
        <v>300</v>
      </c>
      <c r="E101" s="665">
        <v>11.5</v>
      </c>
      <c r="F101" s="665">
        <v>15</v>
      </c>
      <c r="G101" s="666">
        <v>27</v>
      </c>
      <c r="H101" s="667">
        <v>152.80000000000001</v>
      </c>
      <c r="I101" s="664">
        <v>492</v>
      </c>
      <c r="J101" s="664">
        <v>438</v>
      </c>
      <c r="K101" s="664" t="s">
        <v>1141</v>
      </c>
      <c r="L101" s="668">
        <v>122</v>
      </c>
      <c r="M101" s="669">
        <v>198</v>
      </c>
      <c r="N101" s="670">
        <v>2.1749999999999998</v>
      </c>
      <c r="O101" s="670">
        <v>18.13</v>
      </c>
      <c r="P101" s="662" t="s">
        <v>1190</v>
      </c>
      <c r="Q101" s="663">
        <v>120</v>
      </c>
      <c r="R101" s="665">
        <v>72870</v>
      </c>
      <c r="S101" s="668">
        <v>2792</v>
      </c>
      <c r="T101" s="668">
        <v>3128</v>
      </c>
      <c r="U101" s="671">
        <v>21.84</v>
      </c>
      <c r="V101" s="667">
        <v>72.66</v>
      </c>
      <c r="W101" s="668">
        <v>6767</v>
      </c>
      <c r="X101" s="665">
        <v>451.1</v>
      </c>
      <c r="Y101" s="665">
        <v>698.6</v>
      </c>
      <c r="Z101" s="667">
        <v>6.65</v>
      </c>
      <c r="AA101" s="671">
        <v>73.13</v>
      </c>
      <c r="AB101" s="671">
        <v>133.69999999999999</v>
      </c>
      <c r="AC101" s="718">
        <v>4338</v>
      </c>
      <c r="AD101" s="673">
        <v>1</v>
      </c>
      <c r="AE101" s="673">
        <v>3</v>
      </c>
      <c r="AF101" s="674" t="s">
        <v>600</v>
      </c>
      <c r="AG101" s="673">
        <v>3</v>
      </c>
      <c r="AH101" s="673">
        <v>4</v>
      </c>
      <c r="AI101" s="675" t="s">
        <v>600</v>
      </c>
      <c r="AJ101" s="664"/>
    </row>
    <row r="102" spans="1:36" s="628" customFormat="1" ht="13.5" customHeight="1">
      <c r="A102" s="677" t="s">
        <v>1191</v>
      </c>
      <c r="B102" s="704">
        <v>166</v>
      </c>
      <c r="C102" s="679">
        <v>540</v>
      </c>
      <c r="D102" s="679">
        <v>300</v>
      </c>
      <c r="E102" s="680">
        <v>12.5</v>
      </c>
      <c r="F102" s="680">
        <v>24</v>
      </c>
      <c r="G102" s="681">
        <v>27</v>
      </c>
      <c r="H102" s="682">
        <v>211.8</v>
      </c>
      <c r="I102" s="679">
        <v>492</v>
      </c>
      <c r="J102" s="679">
        <v>438</v>
      </c>
      <c r="K102" s="679" t="s">
        <v>1141</v>
      </c>
      <c r="L102" s="683">
        <v>122</v>
      </c>
      <c r="M102" s="684">
        <v>198</v>
      </c>
      <c r="N102" s="685">
        <v>2.2090000000000001</v>
      </c>
      <c r="O102" s="685">
        <v>13.29</v>
      </c>
      <c r="P102" s="677" t="s">
        <v>1191</v>
      </c>
      <c r="Q102" s="686">
        <v>166</v>
      </c>
      <c r="R102" s="680">
        <v>111900</v>
      </c>
      <c r="S102" s="683">
        <v>4146</v>
      </c>
      <c r="T102" s="683">
        <v>4622</v>
      </c>
      <c r="U102" s="687">
        <v>22.99</v>
      </c>
      <c r="V102" s="682">
        <v>83.72</v>
      </c>
      <c r="W102" s="683">
        <v>10820</v>
      </c>
      <c r="X102" s="680">
        <v>721.3</v>
      </c>
      <c r="Y102" s="680">
        <v>1107</v>
      </c>
      <c r="Z102" s="682">
        <v>7.15</v>
      </c>
      <c r="AA102" s="687">
        <v>92.13</v>
      </c>
      <c r="AB102" s="687">
        <v>351.5</v>
      </c>
      <c r="AC102" s="717">
        <v>7189</v>
      </c>
      <c r="AD102" s="689">
        <v>1</v>
      </c>
      <c r="AE102" s="689">
        <v>1</v>
      </c>
      <c r="AF102" s="690">
        <v>1</v>
      </c>
      <c r="AG102" s="689">
        <v>2</v>
      </c>
      <c r="AH102" s="689">
        <v>4</v>
      </c>
      <c r="AI102" s="691">
        <v>4</v>
      </c>
      <c r="AJ102" s="679" t="s">
        <v>1155</v>
      </c>
    </row>
    <row r="103" spans="1:36" s="692" customFormat="1" ht="13.5" customHeight="1">
      <c r="A103" s="662" t="s">
        <v>1192</v>
      </c>
      <c r="B103" s="669">
        <v>199</v>
      </c>
      <c r="C103" s="664">
        <v>550</v>
      </c>
      <c r="D103" s="664">
        <v>300</v>
      </c>
      <c r="E103" s="665">
        <v>15</v>
      </c>
      <c r="F103" s="665">
        <v>29</v>
      </c>
      <c r="G103" s="666">
        <v>27</v>
      </c>
      <c r="H103" s="667">
        <v>254.1</v>
      </c>
      <c r="I103" s="664">
        <v>492</v>
      </c>
      <c r="J103" s="664">
        <v>438</v>
      </c>
      <c r="K103" s="664" t="s">
        <v>1141</v>
      </c>
      <c r="L103" s="668">
        <v>124</v>
      </c>
      <c r="M103" s="669">
        <v>198</v>
      </c>
      <c r="N103" s="670">
        <v>2.2240000000000002</v>
      </c>
      <c r="O103" s="670">
        <v>11.15</v>
      </c>
      <c r="P103" s="662" t="s">
        <v>1192</v>
      </c>
      <c r="Q103" s="663">
        <v>199</v>
      </c>
      <c r="R103" s="665">
        <v>136700</v>
      </c>
      <c r="S103" s="668">
        <v>4971</v>
      </c>
      <c r="T103" s="668">
        <v>5591</v>
      </c>
      <c r="U103" s="671">
        <v>23.2</v>
      </c>
      <c r="V103" s="667">
        <v>100.1</v>
      </c>
      <c r="W103" s="668">
        <v>13080</v>
      </c>
      <c r="X103" s="665">
        <v>871.8</v>
      </c>
      <c r="Y103" s="665">
        <v>1341</v>
      </c>
      <c r="Z103" s="667">
        <v>7.17</v>
      </c>
      <c r="AA103" s="671">
        <v>104.6</v>
      </c>
      <c r="AB103" s="671">
        <v>600.29999999999995</v>
      </c>
      <c r="AC103" s="718">
        <v>8856</v>
      </c>
      <c r="AD103" s="673">
        <v>1</v>
      </c>
      <c r="AE103" s="673">
        <v>1</v>
      </c>
      <c r="AF103" s="674">
        <v>1</v>
      </c>
      <c r="AG103" s="673">
        <v>1</v>
      </c>
      <c r="AH103" s="673">
        <v>2</v>
      </c>
      <c r="AI103" s="675">
        <v>3</v>
      </c>
      <c r="AJ103" s="664" t="s">
        <v>1155</v>
      </c>
    </row>
    <row r="104" spans="1:36" s="628" customFormat="1" ht="13.5" customHeight="1">
      <c r="A104" s="677" t="s">
        <v>1193</v>
      </c>
      <c r="B104" s="704">
        <v>278</v>
      </c>
      <c r="C104" s="679">
        <v>572</v>
      </c>
      <c r="D104" s="679">
        <v>306</v>
      </c>
      <c r="E104" s="680">
        <v>21</v>
      </c>
      <c r="F104" s="680">
        <v>40</v>
      </c>
      <c r="G104" s="681">
        <v>27</v>
      </c>
      <c r="H104" s="682">
        <v>354.4</v>
      </c>
      <c r="I104" s="679">
        <v>492</v>
      </c>
      <c r="J104" s="679">
        <v>438</v>
      </c>
      <c r="K104" s="679" t="s">
        <v>1141</v>
      </c>
      <c r="L104" s="683">
        <v>132</v>
      </c>
      <c r="M104" s="684">
        <v>202</v>
      </c>
      <c r="N104" s="685">
        <v>2.2799999999999998</v>
      </c>
      <c r="O104" s="685">
        <v>8.1950000000000003</v>
      </c>
      <c r="P104" s="677" t="s">
        <v>1193</v>
      </c>
      <c r="Q104" s="686">
        <v>278</v>
      </c>
      <c r="R104" s="680">
        <v>198000</v>
      </c>
      <c r="S104" s="683">
        <v>6923</v>
      </c>
      <c r="T104" s="683">
        <v>7933</v>
      </c>
      <c r="U104" s="687">
        <v>23.64</v>
      </c>
      <c r="V104" s="682">
        <v>139.6</v>
      </c>
      <c r="W104" s="683">
        <v>19160</v>
      </c>
      <c r="X104" s="680">
        <v>1252</v>
      </c>
      <c r="Y104" s="680">
        <v>1937</v>
      </c>
      <c r="Z104" s="682">
        <v>7.35</v>
      </c>
      <c r="AA104" s="687">
        <v>132.6</v>
      </c>
      <c r="AB104" s="687">
        <v>1554</v>
      </c>
      <c r="AC104" s="717">
        <v>13520</v>
      </c>
      <c r="AD104" s="689">
        <v>1</v>
      </c>
      <c r="AE104" s="689">
        <v>1</v>
      </c>
      <c r="AF104" s="690">
        <v>1</v>
      </c>
      <c r="AG104" s="689">
        <v>1</v>
      </c>
      <c r="AH104" s="689">
        <v>1</v>
      </c>
      <c r="AI104" s="691">
        <v>1</v>
      </c>
      <c r="AJ104" s="679" t="s">
        <v>1155</v>
      </c>
    </row>
    <row r="105" spans="1:36" s="628" customFormat="1" ht="13.5" customHeight="1">
      <c r="A105" s="677"/>
      <c r="B105" s="704"/>
      <c r="C105" s="679"/>
      <c r="D105" s="679"/>
      <c r="E105" s="680"/>
      <c r="F105" s="680"/>
      <c r="G105" s="681"/>
      <c r="H105" s="682"/>
      <c r="I105" s="679"/>
      <c r="J105" s="679"/>
      <c r="K105" s="679"/>
      <c r="L105" s="683"/>
      <c r="M105" s="684"/>
      <c r="N105" s="685"/>
      <c r="O105" s="685"/>
      <c r="P105" s="677"/>
      <c r="Q105" s="686"/>
      <c r="R105" s="680"/>
      <c r="S105" s="683"/>
      <c r="T105" s="683"/>
      <c r="U105" s="687"/>
      <c r="V105" s="682"/>
      <c r="W105" s="683"/>
      <c r="X105" s="680"/>
      <c r="Y105" s="680"/>
      <c r="Z105" s="682"/>
      <c r="AA105" s="687"/>
      <c r="AB105" s="687"/>
      <c r="AC105" s="717"/>
      <c r="AD105" s="689"/>
      <c r="AE105" s="689"/>
      <c r="AF105" s="690"/>
      <c r="AG105" s="689"/>
      <c r="AH105" s="689"/>
      <c r="AI105" s="691"/>
      <c r="AJ105" s="679"/>
    </row>
    <row r="106" spans="1:36" s="692" customFormat="1" ht="13.5" customHeight="1">
      <c r="A106" s="662" t="s">
        <v>1194</v>
      </c>
      <c r="B106" s="669">
        <v>129</v>
      </c>
      <c r="C106" s="664">
        <v>571</v>
      </c>
      <c r="D106" s="664">
        <v>300</v>
      </c>
      <c r="E106" s="665">
        <v>12</v>
      </c>
      <c r="F106" s="665">
        <v>15.5</v>
      </c>
      <c r="G106" s="666">
        <v>27</v>
      </c>
      <c r="H106" s="667">
        <v>164.1</v>
      </c>
      <c r="I106" s="664">
        <v>540</v>
      </c>
      <c r="J106" s="664">
        <v>486</v>
      </c>
      <c r="K106" s="664" t="s">
        <v>1141</v>
      </c>
      <c r="L106" s="668">
        <v>122</v>
      </c>
      <c r="M106" s="669">
        <v>198</v>
      </c>
      <c r="N106" s="670">
        <v>2.2719999999999998</v>
      </c>
      <c r="O106" s="670">
        <v>17.64</v>
      </c>
      <c r="P106" s="662" t="s">
        <v>1194</v>
      </c>
      <c r="Q106" s="663">
        <v>129</v>
      </c>
      <c r="R106" s="665">
        <v>91900</v>
      </c>
      <c r="S106" s="668">
        <v>3218</v>
      </c>
      <c r="T106" s="668">
        <v>3623</v>
      </c>
      <c r="U106" s="671">
        <v>23.66</v>
      </c>
      <c r="V106" s="667">
        <v>81.290000000000006</v>
      </c>
      <c r="W106" s="668">
        <v>6993</v>
      </c>
      <c r="X106" s="665">
        <v>466.2</v>
      </c>
      <c r="Y106" s="665">
        <v>724.5</v>
      </c>
      <c r="Z106" s="667">
        <v>6.53</v>
      </c>
      <c r="AA106" s="671">
        <v>74.63</v>
      </c>
      <c r="AB106" s="671">
        <v>149.80000000000001</v>
      </c>
      <c r="AC106" s="718">
        <v>5381</v>
      </c>
      <c r="AD106" s="673">
        <v>1</v>
      </c>
      <c r="AE106" s="673">
        <v>3</v>
      </c>
      <c r="AF106" s="674" t="s">
        <v>600</v>
      </c>
      <c r="AG106" s="673">
        <v>3</v>
      </c>
      <c r="AH106" s="673">
        <v>4</v>
      </c>
      <c r="AI106" s="675" t="s">
        <v>600</v>
      </c>
      <c r="AJ106" s="664"/>
    </row>
    <row r="107" spans="1:36" s="628" customFormat="1" ht="13.5" customHeight="1">
      <c r="A107" s="677" t="s">
        <v>1195</v>
      </c>
      <c r="B107" s="704">
        <v>178</v>
      </c>
      <c r="C107" s="679">
        <v>590</v>
      </c>
      <c r="D107" s="679">
        <v>300</v>
      </c>
      <c r="E107" s="680">
        <v>13</v>
      </c>
      <c r="F107" s="680">
        <v>25</v>
      </c>
      <c r="G107" s="681">
        <v>27</v>
      </c>
      <c r="H107" s="682">
        <v>226.5</v>
      </c>
      <c r="I107" s="679">
        <v>540</v>
      </c>
      <c r="J107" s="679">
        <v>486</v>
      </c>
      <c r="K107" s="679" t="s">
        <v>1141</v>
      </c>
      <c r="L107" s="683">
        <v>122</v>
      </c>
      <c r="M107" s="684">
        <v>198</v>
      </c>
      <c r="N107" s="685">
        <v>2.3079999999999998</v>
      </c>
      <c r="O107" s="685">
        <v>12.98</v>
      </c>
      <c r="P107" s="677" t="s">
        <v>1195</v>
      </c>
      <c r="Q107" s="686">
        <v>178</v>
      </c>
      <c r="R107" s="680">
        <v>141200</v>
      </c>
      <c r="S107" s="683">
        <v>4787</v>
      </c>
      <c r="T107" s="683">
        <v>5350</v>
      </c>
      <c r="U107" s="687">
        <v>24.97</v>
      </c>
      <c r="V107" s="682">
        <v>93.21</v>
      </c>
      <c r="W107" s="683">
        <v>11270</v>
      </c>
      <c r="X107" s="680">
        <v>751.4</v>
      </c>
      <c r="Y107" s="680">
        <v>1156</v>
      </c>
      <c r="Z107" s="682">
        <v>7.05</v>
      </c>
      <c r="AA107" s="687">
        <v>94.63</v>
      </c>
      <c r="AB107" s="687">
        <v>397.8</v>
      </c>
      <c r="AC107" s="717">
        <v>8978</v>
      </c>
      <c r="AD107" s="689">
        <v>1</v>
      </c>
      <c r="AE107" s="689">
        <v>1</v>
      </c>
      <c r="AF107" s="690">
        <v>1</v>
      </c>
      <c r="AG107" s="689">
        <v>2</v>
      </c>
      <c r="AH107" s="689">
        <v>4</v>
      </c>
      <c r="AI107" s="691">
        <v>4</v>
      </c>
      <c r="AJ107" s="679" t="s">
        <v>1155</v>
      </c>
    </row>
    <row r="108" spans="1:36" s="692" customFormat="1" ht="13.5" customHeight="1">
      <c r="A108" s="706" t="s">
        <v>1196</v>
      </c>
      <c r="B108" s="711">
        <v>212</v>
      </c>
      <c r="C108" s="673">
        <v>600</v>
      </c>
      <c r="D108" s="673">
        <v>300</v>
      </c>
      <c r="E108" s="708">
        <v>15.5</v>
      </c>
      <c r="F108" s="708">
        <v>30</v>
      </c>
      <c r="G108" s="674">
        <v>27</v>
      </c>
      <c r="H108" s="709">
        <v>270</v>
      </c>
      <c r="I108" s="673">
        <v>540</v>
      </c>
      <c r="J108" s="673">
        <v>486</v>
      </c>
      <c r="K108" s="673" t="s">
        <v>1141</v>
      </c>
      <c r="L108" s="710">
        <v>126</v>
      </c>
      <c r="M108" s="711">
        <v>198</v>
      </c>
      <c r="N108" s="712">
        <v>2.323</v>
      </c>
      <c r="O108" s="712">
        <v>10.96</v>
      </c>
      <c r="P108" s="706" t="s">
        <v>1196</v>
      </c>
      <c r="Q108" s="663">
        <v>212</v>
      </c>
      <c r="R108" s="708">
        <v>171000</v>
      </c>
      <c r="S108" s="710">
        <v>5701</v>
      </c>
      <c r="T108" s="710">
        <v>6425</v>
      </c>
      <c r="U108" s="713">
        <v>25.17</v>
      </c>
      <c r="V108" s="709">
        <v>110.8</v>
      </c>
      <c r="W108" s="710">
        <v>13530</v>
      </c>
      <c r="X108" s="708">
        <v>902</v>
      </c>
      <c r="Y108" s="708">
        <v>1391</v>
      </c>
      <c r="Z108" s="709">
        <v>7.08</v>
      </c>
      <c r="AA108" s="671">
        <v>107.1</v>
      </c>
      <c r="AB108" s="671">
        <v>667.2</v>
      </c>
      <c r="AC108" s="718">
        <v>10970</v>
      </c>
      <c r="AD108" s="673">
        <v>1</v>
      </c>
      <c r="AE108" s="673">
        <v>1</v>
      </c>
      <c r="AF108" s="674">
        <v>1</v>
      </c>
      <c r="AG108" s="673">
        <v>1</v>
      </c>
      <c r="AH108" s="673">
        <v>3</v>
      </c>
      <c r="AI108" s="675">
        <v>4</v>
      </c>
      <c r="AJ108" s="673" t="s">
        <v>1155</v>
      </c>
    </row>
    <row r="109" spans="1:36" s="628" customFormat="1" ht="13.5" customHeight="1">
      <c r="A109" s="695" t="s">
        <v>1197</v>
      </c>
      <c r="B109" s="715">
        <v>285</v>
      </c>
      <c r="C109" s="689">
        <v>620</v>
      </c>
      <c r="D109" s="689">
        <v>305</v>
      </c>
      <c r="E109" s="697">
        <v>21</v>
      </c>
      <c r="F109" s="697">
        <v>40</v>
      </c>
      <c r="G109" s="690">
        <v>27</v>
      </c>
      <c r="H109" s="698">
        <v>363.7</v>
      </c>
      <c r="I109" s="689">
        <v>540</v>
      </c>
      <c r="J109" s="689">
        <v>486</v>
      </c>
      <c r="K109" s="689" t="s">
        <v>1141</v>
      </c>
      <c r="L109" s="699">
        <v>132</v>
      </c>
      <c r="M109" s="700">
        <v>200</v>
      </c>
      <c r="N109" s="701">
        <v>2.3719999999999999</v>
      </c>
      <c r="O109" s="701">
        <v>8.3079999999999998</v>
      </c>
      <c r="P109" s="695" t="s">
        <v>1197</v>
      </c>
      <c r="Q109" s="686">
        <v>285</v>
      </c>
      <c r="R109" s="697">
        <v>237400</v>
      </c>
      <c r="S109" s="699">
        <v>7660</v>
      </c>
      <c r="T109" s="699">
        <v>8772</v>
      </c>
      <c r="U109" s="702">
        <v>25.55</v>
      </c>
      <c r="V109" s="698">
        <v>149.69999999999999</v>
      </c>
      <c r="W109" s="699">
        <v>18980</v>
      </c>
      <c r="X109" s="697">
        <v>1244</v>
      </c>
      <c r="Y109" s="697">
        <v>1930</v>
      </c>
      <c r="Z109" s="698">
        <v>7.22</v>
      </c>
      <c r="AA109" s="687">
        <v>132.6</v>
      </c>
      <c r="AB109" s="687">
        <v>1564</v>
      </c>
      <c r="AC109" s="717">
        <v>15910</v>
      </c>
      <c r="AD109" s="689">
        <v>1</v>
      </c>
      <c r="AE109" s="689">
        <v>1</v>
      </c>
      <c r="AF109" s="690">
        <v>1</v>
      </c>
      <c r="AG109" s="689">
        <v>1</v>
      </c>
      <c r="AH109" s="689">
        <v>1</v>
      </c>
      <c r="AI109" s="691">
        <v>1</v>
      </c>
      <c r="AJ109" s="689" t="s">
        <v>1155</v>
      </c>
    </row>
    <row r="110" spans="1:36" s="692" customFormat="1" ht="13.5" customHeight="1">
      <c r="A110" s="706" t="s">
        <v>1198</v>
      </c>
      <c r="B110" s="711">
        <v>337</v>
      </c>
      <c r="C110" s="673">
        <v>632</v>
      </c>
      <c r="D110" s="673">
        <v>310</v>
      </c>
      <c r="E110" s="708">
        <v>25.5</v>
      </c>
      <c r="F110" s="708">
        <v>46</v>
      </c>
      <c r="G110" s="674">
        <v>27</v>
      </c>
      <c r="H110" s="709">
        <v>429.2</v>
      </c>
      <c r="I110" s="673">
        <v>540</v>
      </c>
      <c r="J110" s="673">
        <v>486</v>
      </c>
      <c r="K110" s="673" t="s">
        <v>1141</v>
      </c>
      <c r="L110" s="710">
        <v>138</v>
      </c>
      <c r="M110" s="711">
        <v>202</v>
      </c>
      <c r="N110" s="712">
        <v>2.407</v>
      </c>
      <c r="O110" s="712">
        <v>7.1440000000000001</v>
      </c>
      <c r="P110" s="706" t="s">
        <v>1198</v>
      </c>
      <c r="Q110" s="663">
        <v>337</v>
      </c>
      <c r="R110" s="708">
        <v>283200</v>
      </c>
      <c r="S110" s="710">
        <v>8961</v>
      </c>
      <c r="T110" s="710">
        <v>10380</v>
      </c>
      <c r="U110" s="713">
        <v>25.69</v>
      </c>
      <c r="V110" s="709">
        <v>180.5</v>
      </c>
      <c r="W110" s="710">
        <v>22940</v>
      </c>
      <c r="X110" s="708">
        <v>1480</v>
      </c>
      <c r="Y110" s="708">
        <v>2310</v>
      </c>
      <c r="Z110" s="709">
        <v>7.31</v>
      </c>
      <c r="AA110" s="671">
        <v>149.1</v>
      </c>
      <c r="AB110" s="671">
        <v>2451</v>
      </c>
      <c r="AC110" s="718">
        <v>19610</v>
      </c>
      <c r="AD110" s="673">
        <v>1</v>
      </c>
      <c r="AE110" s="673">
        <v>1</v>
      </c>
      <c r="AF110" s="674">
        <v>1</v>
      </c>
      <c r="AG110" s="673">
        <v>1</v>
      </c>
      <c r="AH110" s="673">
        <v>1</v>
      </c>
      <c r="AI110" s="675">
        <v>1</v>
      </c>
      <c r="AJ110" s="664" t="s">
        <v>1155</v>
      </c>
    </row>
    <row r="111" spans="1:36" s="719" customFormat="1" ht="13.5" customHeight="1">
      <c r="A111" s="695" t="s">
        <v>1199</v>
      </c>
      <c r="B111" s="715">
        <v>399</v>
      </c>
      <c r="C111" s="689">
        <v>648</v>
      </c>
      <c r="D111" s="689">
        <v>315</v>
      </c>
      <c r="E111" s="697">
        <v>30</v>
      </c>
      <c r="F111" s="697">
        <v>54</v>
      </c>
      <c r="G111" s="690">
        <v>27</v>
      </c>
      <c r="H111" s="698">
        <v>508.5</v>
      </c>
      <c r="I111" s="689">
        <v>540</v>
      </c>
      <c r="J111" s="689">
        <v>486</v>
      </c>
      <c r="K111" s="689" t="s">
        <v>1141</v>
      </c>
      <c r="L111" s="699">
        <v>142</v>
      </c>
      <c r="M111" s="700">
        <v>208</v>
      </c>
      <c r="N111" s="701">
        <v>2.4500000000000002</v>
      </c>
      <c r="O111" s="701">
        <v>6.1369999999999996</v>
      </c>
      <c r="P111" s="695" t="s">
        <v>1199</v>
      </c>
      <c r="Q111" s="686">
        <v>399</v>
      </c>
      <c r="R111" s="697">
        <v>344600</v>
      </c>
      <c r="S111" s="699">
        <v>10640</v>
      </c>
      <c r="T111" s="699">
        <v>12460</v>
      </c>
      <c r="U111" s="702">
        <v>26.03</v>
      </c>
      <c r="V111" s="698">
        <v>213.6</v>
      </c>
      <c r="W111" s="699">
        <v>28280</v>
      </c>
      <c r="X111" s="697">
        <v>1796</v>
      </c>
      <c r="Y111" s="697">
        <v>2814</v>
      </c>
      <c r="Z111" s="698">
        <v>7.46</v>
      </c>
      <c r="AA111" s="687">
        <v>169.6</v>
      </c>
      <c r="AB111" s="687">
        <v>3966</v>
      </c>
      <c r="AC111" s="717">
        <v>24810</v>
      </c>
      <c r="AD111" s="689">
        <v>1</v>
      </c>
      <c r="AE111" s="689">
        <v>1</v>
      </c>
      <c r="AF111" s="690">
        <v>1</v>
      </c>
      <c r="AG111" s="689">
        <v>1</v>
      </c>
      <c r="AH111" s="689">
        <v>1</v>
      </c>
      <c r="AI111" s="691">
        <v>1</v>
      </c>
      <c r="AJ111" s="679" t="s">
        <v>1155</v>
      </c>
    </row>
    <row r="112" spans="1:36" s="719" customFormat="1" ht="13.5" customHeight="1">
      <c r="A112" s="695"/>
      <c r="B112" s="715"/>
      <c r="C112" s="689"/>
      <c r="D112" s="689"/>
      <c r="E112" s="697"/>
      <c r="F112" s="697"/>
      <c r="G112" s="690"/>
      <c r="H112" s="698"/>
      <c r="I112" s="689"/>
      <c r="J112" s="689"/>
      <c r="K112" s="689"/>
      <c r="L112" s="699"/>
      <c r="M112" s="700"/>
      <c r="N112" s="701"/>
      <c r="O112" s="701"/>
      <c r="P112" s="695"/>
      <c r="Q112" s="686"/>
      <c r="R112" s="697"/>
      <c r="S112" s="699"/>
      <c r="T112" s="699"/>
      <c r="U112" s="702"/>
      <c r="V112" s="698"/>
      <c r="W112" s="699"/>
      <c r="X112" s="697"/>
      <c r="Y112" s="697"/>
      <c r="Z112" s="698"/>
      <c r="AA112" s="687"/>
      <c r="AB112" s="687"/>
      <c r="AC112" s="717"/>
      <c r="AD112" s="689"/>
      <c r="AE112" s="689"/>
      <c r="AF112" s="690"/>
      <c r="AG112" s="689"/>
      <c r="AH112" s="689"/>
      <c r="AI112" s="691"/>
      <c r="AJ112" s="679"/>
    </row>
    <row r="113" spans="1:36" s="692" customFormat="1" ht="13.5" customHeight="1">
      <c r="A113" s="706" t="s">
        <v>1200</v>
      </c>
      <c r="B113" s="711">
        <v>138</v>
      </c>
      <c r="C113" s="673">
        <v>620</v>
      </c>
      <c r="D113" s="673">
        <v>300</v>
      </c>
      <c r="E113" s="708">
        <v>12.5</v>
      </c>
      <c r="F113" s="708">
        <v>16</v>
      </c>
      <c r="G113" s="674">
        <v>27</v>
      </c>
      <c r="H113" s="709">
        <v>175.8</v>
      </c>
      <c r="I113" s="673">
        <v>588</v>
      </c>
      <c r="J113" s="673">
        <v>534</v>
      </c>
      <c r="K113" s="673" t="s">
        <v>1141</v>
      </c>
      <c r="L113" s="710">
        <v>122</v>
      </c>
      <c r="M113" s="711">
        <v>198</v>
      </c>
      <c r="N113" s="712">
        <v>2.3690000000000002</v>
      </c>
      <c r="O113" s="712">
        <v>17.170000000000002</v>
      </c>
      <c r="P113" s="706" t="s">
        <v>1200</v>
      </c>
      <c r="Q113" s="663">
        <v>138</v>
      </c>
      <c r="R113" s="708">
        <v>113900</v>
      </c>
      <c r="S113" s="710">
        <v>3676</v>
      </c>
      <c r="T113" s="710">
        <v>4160</v>
      </c>
      <c r="U113" s="713">
        <v>25.46</v>
      </c>
      <c r="V113" s="709">
        <v>90.4</v>
      </c>
      <c r="W113" s="710">
        <v>7221</v>
      </c>
      <c r="X113" s="708">
        <v>481.4</v>
      </c>
      <c r="Y113" s="708">
        <v>750.7</v>
      </c>
      <c r="Z113" s="709">
        <v>6.41</v>
      </c>
      <c r="AA113" s="671">
        <v>76.13</v>
      </c>
      <c r="AB113" s="671">
        <v>167.5</v>
      </c>
      <c r="AC113" s="718">
        <v>6567</v>
      </c>
      <c r="AD113" s="673">
        <v>1</v>
      </c>
      <c r="AE113" s="673">
        <v>3</v>
      </c>
      <c r="AF113" s="674" t="s">
        <v>600</v>
      </c>
      <c r="AG113" s="673">
        <v>4</v>
      </c>
      <c r="AH113" s="673">
        <v>4</v>
      </c>
      <c r="AI113" s="675" t="s">
        <v>600</v>
      </c>
      <c r="AJ113" s="664"/>
    </row>
    <row r="114" spans="1:36" s="628" customFormat="1" ht="13.5" customHeight="1">
      <c r="A114" s="695" t="s">
        <v>1201</v>
      </c>
      <c r="B114" s="715">
        <v>190</v>
      </c>
      <c r="C114" s="689">
        <v>640</v>
      </c>
      <c r="D114" s="689">
        <v>300</v>
      </c>
      <c r="E114" s="697">
        <v>13.5</v>
      </c>
      <c r="F114" s="697">
        <v>26</v>
      </c>
      <c r="G114" s="690">
        <v>27</v>
      </c>
      <c r="H114" s="698">
        <v>241.6</v>
      </c>
      <c r="I114" s="689">
        <v>588</v>
      </c>
      <c r="J114" s="689">
        <v>534</v>
      </c>
      <c r="K114" s="689" t="s">
        <v>1141</v>
      </c>
      <c r="L114" s="699">
        <v>124</v>
      </c>
      <c r="M114" s="700">
        <v>198</v>
      </c>
      <c r="N114" s="701">
        <v>2.407</v>
      </c>
      <c r="O114" s="701">
        <v>12.69</v>
      </c>
      <c r="P114" s="695" t="s">
        <v>1201</v>
      </c>
      <c r="Q114" s="686">
        <v>190</v>
      </c>
      <c r="R114" s="697">
        <v>175200</v>
      </c>
      <c r="S114" s="699">
        <v>5474</v>
      </c>
      <c r="T114" s="699">
        <v>6136</v>
      </c>
      <c r="U114" s="702">
        <v>26.93</v>
      </c>
      <c r="V114" s="698">
        <v>103.2</v>
      </c>
      <c r="W114" s="699">
        <v>11720</v>
      </c>
      <c r="X114" s="697">
        <v>781.6</v>
      </c>
      <c r="Y114" s="697">
        <v>1205</v>
      </c>
      <c r="Z114" s="698">
        <v>6.97</v>
      </c>
      <c r="AA114" s="687">
        <v>97.13</v>
      </c>
      <c r="AB114" s="687">
        <v>448.3</v>
      </c>
      <c r="AC114" s="717">
        <v>11030</v>
      </c>
      <c r="AD114" s="689">
        <v>1</v>
      </c>
      <c r="AE114" s="689">
        <v>1</v>
      </c>
      <c r="AF114" s="690">
        <v>1</v>
      </c>
      <c r="AG114" s="689">
        <v>3</v>
      </c>
      <c r="AH114" s="689">
        <v>4</v>
      </c>
      <c r="AI114" s="691">
        <v>4</v>
      </c>
      <c r="AJ114" s="689" t="s">
        <v>1155</v>
      </c>
    </row>
    <row r="115" spans="1:36" s="692" customFormat="1" ht="13.5" customHeight="1">
      <c r="A115" s="706" t="s">
        <v>1202</v>
      </c>
      <c r="B115" s="711">
        <v>225</v>
      </c>
      <c r="C115" s="673">
        <v>650</v>
      </c>
      <c r="D115" s="673">
        <v>300</v>
      </c>
      <c r="E115" s="708">
        <v>16</v>
      </c>
      <c r="F115" s="708">
        <v>31</v>
      </c>
      <c r="G115" s="674">
        <v>27</v>
      </c>
      <c r="H115" s="709">
        <v>286.3</v>
      </c>
      <c r="I115" s="673">
        <v>588</v>
      </c>
      <c r="J115" s="673">
        <v>534</v>
      </c>
      <c r="K115" s="673" t="s">
        <v>1141</v>
      </c>
      <c r="L115" s="710">
        <v>126</v>
      </c>
      <c r="M115" s="711">
        <v>198</v>
      </c>
      <c r="N115" s="712">
        <v>2.4220000000000002</v>
      </c>
      <c r="O115" s="712">
        <v>10.77</v>
      </c>
      <c r="P115" s="706" t="s">
        <v>1202</v>
      </c>
      <c r="Q115" s="663">
        <v>225</v>
      </c>
      <c r="R115" s="708">
        <v>210600</v>
      </c>
      <c r="S115" s="710">
        <v>6480</v>
      </c>
      <c r="T115" s="710">
        <v>7320</v>
      </c>
      <c r="U115" s="713">
        <v>27.12</v>
      </c>
      <c r="V115" s="709">
        <v>122</v>
      </c>
      <c r="W115" s="710">
        <v>13980</v>
      </c>
      <c r="X115" s="708">
        <v>932.3</v>
      </c>
      <c r="Y115" s="708">
        <v>1441</v>
      </c>
      <c r="Z115" s="709">
        <v>6.99</v>
      </c>
      <c r="AA115" s="671">
        <v>109.6</v>
      </c>
      <c r="AB115" s="671">
        <v>739.2</v>
      </c>
      <c r="AC115" s="718">
        <v>13360</v>
      </c>
      <c r="AD115" s="673">
        <v>1</v>
      </c>
      <c r="AE115" s="673">
        <v>1</v>
      </c>
      <c r="AF115" s="674">
        <v>1</v>
      </c>
      <c r="AG115" s="673">
        <v>2</v>
      </c>
      <c r="AH115" s="673">
        <v>3</v>
      </c>
      <c r="AI115" s="675">
        <v>4</v>
      </c>
      <c r="AJ115" s="673" t="s">
        <v>1155</v>
      </c>
    </row>
    <row r="116" spans="1:36" s="628" customFormat="1" ht="13.5" customHeight="1">
      <c r="A116" s="695" t="s">
        <v>1203</v>
      </c>
      <c r="B116" s="715">
        <v>293</v>
      </c>
      <c r="C116" s="689">
        <v>668</v>
      </c>
      <c r="D116" s="689">
        <v>305</v>
      </c>
      <c r="E116" s="697">
        <v>21</v>
      </c>
      <c r="F116" s="697">
        <v>40</v>
      </c>
      <c r="G116" s="690">
        <v>27</v>
      </c>
      <c r="H116" s="698">
        <v>373.7</v>
      </c>
      <c r="I116" s="689">
        <v>588</v>
      </c>
      <c r="J116" s="689">
        <v>534</v>
      </c>
      <c r="K116" s="689" t="s">
        <v>1141</v>
      </c>
      <c r="L116" s="699">
        <v>132</v>
      </c>
      <c r="M116" s="700">
        <v>200</v>
      </c>
      <c r="N116" s="701">
        <v>2.468</v>
      </c>
      <c r="O116" s="701">
        <v>8.4109999999999996</v>
      </c>
      <c r="P116" s="695" t="s">
        <v>1203</v>
      </c>
      <c r="Q116" s="686">
        <v>293</v>
      </c>
      <c r="R116" s="697">
        <v>281700</v>
      </c>
      <c r="S116" s="699">
        <v>8433</v>
      </c>
      <c r="T116" s="699">
        <v>9657</v>
      </c>
      <c r="U116" s="702">
        <v>27.45</v>
      </c>
      <c r="V116" s="698">
        <v>159.69999999999999</v>
      </c>
      <c r="W116" s="699">
        <v>18980</v>
      </c>
      <c r="X116" s="697">
        <v>1245</v>
      </c>
      <c r="Y116" s="697">
        <v>1936</v>
      </c>
      <c r="Z116" s="698">
        <v>7.13</v>
      </c>
      <c r="AA116" s="687">
        <v>132.6</v>
      </c>
      <c r="AB116" s="687">
        <v>1579</v>
      </c>
      <c r="AC116" s="717">
        <v>18650</v>
      </c>
      <c r="AD116" s="689">
        <v>1</v>
      </c>
      <c r="AE116" s="689">
        <v>1</v>
      </c>
      <c r="AF116" s="690">
        <v>1</v>
      </c>
      <c r="AG116" s="689">
        <v>1</v>
      </c>
      <c r="AH116" s="689">
        <v>1</v>
      </c>
      <c r="AI116" s="691">
        <v>2</v>
      </c>
      <c r="AJ116" s="679" t="s">
        <v>1155</v>
      </c>
    </row>
    <row r="117" spans="1:36" s="720" customFormat="1" ht="13.5" customHeight="1">
      <c r="A117" s="706" t="s">
        <v>1204</v>
      </c>
      <c r="B117" s="711">
        <v>343</v>
      </c>
      <c r="C117" s="673">
        <v>680</v>
      </c>
      <c r="D117" s="673">
        <v>309</v>
      </c>
      <c r="E117" s="708">
        <v>25</v>
      </c>
      <c r="F117" s="708">
        <v>46</v>
      </c>
      <c r="G117" s="674">
        <v>27</v>
      </c>
      <c r="H117" s="709">
        <v>437.5</v>
      </c>
      <c r="I117" s="673">
        <v>588</v>
      </c>
      <c r="J117" s="673">
        <v>534</v>
      </c>
      <c r="K117" s="673" t="s">
        <v>1141</v>
      </c>
      <c r="L117" s="710">
        <v>138</v>
      </c>
      <c r="M117" s="711">
        <v>202</v>
      </c>
      <c r="N117" s="712">
        <v>2.5</v>
      </c>
      <c r="O117" s="712">
        <v>7.2779999999999996</v>
      </c>
      <c r="P117" s="706" t="s">
        <v>1204</v>
      </c>
      <c r="Q117" s="663">
        <v>343</v>
      </c>
      <c r="R117" s="708">
        <v>333700</v>
      </c>
      <c r="S117" s="710">
        <v>9815</v>
      </c>
      <c r="T117" s="710">
        <v>11350</v>
      </c>
      <c r="U117" s="713">
        <v>27.62</v>
      </c>
      <c r="V117" s="709">
        <v>189.6</v>
      </c>
      <c r="W117" s="710">
        <v>22720</v>
      </c>
      <c r="X117" s="708">
        <v>1470</v>
      </c>
      <c r="Y117" s="708">
        <v>2300</v>
      </c>
      <c r="Z117" s="709">
        <v>7.21</v>
      </c>
      <c r="AA117" s="671">
        <v>148.6</v>
      </c>
      <c r="AB117" s="671">
        <v>2442</v>
      </c>
      <c r="AC117" s="718">
        <v>22730</v>
      </c>
      <c r="AD117" s="673">
        <v>1</v>
      </c>
      <c r="AE117" s="673">
        <v>1</v>
      </c>
      <c r="AF117" s="674">
        <v>1</v>
      </c>
      <c r="AG117" s="673">
        <v>1</v>
      </c>
      <c r="AH117" s="673">
        <v>1</v>
      </c>
      <c r="AI117" s="675">
        <v>1</v>
      </c>
      <c r="AJ117" s="664" t="s">
        <v>1155</v>
      </c>
    </row>
    <row r="118" spans="1:36" s="719" customFormat="1" ht="13.5" customHeight="1">
      <c r="A118" s="695" t="s">
        <v>1205</v>
      </c>
      <c r="B118" s="715">
        <v>407</v>
      </c>
      <c r="C118" s="689">
        <v>696</v>
      </c>
      <c r="D118" s="689">
        <v>314</v>
      </c>
      <c r="E118" s="697">
        <v>29.5</v>
      </c>
      <c r="F118" s="697">
        <v>54</v>
      </c>
      <c r="G118" s="690">
        <v>27</v>
      </c>
      <c r="H118" s="698">
        <v>518.79999999999995</v>
      </c>
      <c r="I118" s="689">
        <v>588</v>
      </c>
      <c r="J118" s="689">
        <v>534</v>
      </c>
      <c r="K118" s="689" t="s">
        <v>1141</v>
      </c>
      <c r="L118" s="699">
        <v>142</v>
      </c>
      <c r="M118" s="700">
        <v>206</v>
      </c>
      <c r="N118" s="701">
        <v>2.5430000000000001</v>
      </c>
      <c r="O118" s="701">
        <v>6.2430000000000003</v>
      </c>
      <c r="P118" s="695" t="s">
        <v>1205</v>
      </c>
      <c r="Q118" s="686">
        <v>407</v>
      </c>
      <c r="R118" s="697">
        <v>405400</v>
      </c>
      <c r="S118" s="699">
        <v>11650</v>
      </c>
      <c r="T118" s="699">
        <v>13620</v>
      </c>
      <c r="U118" s="702">
        <v>27.95</v>
      </c>
      <c r="V118" s="698">
        <v>224.8</v>
      </c>
      <c r="W118" s="699">
        <v>28020</v>
      </c>
      <c r="X118" s="697">
        <v>1785</v>
      </c>
      <c r="Y118" s="697">
        <v>2803</v>
      </c>
      <c r="Z118" s="698">
        <v>7.35</v>
      </c>
      <c r="AA118" s="687">
        <v>169.1</v>
      </c>
      <c r="AB118" s="687">
        <v>3958</v>
      </c>
      <c r="AC118" s="717">
        <v>28710</v>
      </c>
      <c r="AD118" s="689">
        <v>1</v>
      </c>
      <c r="AE118" s="689">
        <v>1</v>
      </c>
      <c r="AF118" s="690">
        <v>1</v>
      </c>
      <c r="AG118" s="689">
        <v>1</v>
      </c>
      <c r="AH118" s="689">
        <v>1</v>
      </c>
      <c r="AI118" s="691">
        <v>1</v>
      </c>
      <c r="AJ118" s="679" t="s">
        <v>1155</v>
      </c>
    </row>
    <row r="119" spans="1:36" s="628" customFormat="1" ht="13.5" customHeight="1">
      <c r="A119" s="695"/>
      <c r="B119" s="715"/>
      <c r="C119" s="689"/>
      <c r="D119" s="689"/>
      <c r="E119" s="697"/>
      <c r="F119" s="697"/>
      <c r="G119" s="690"/>
      <c r="H119" s="698"/>
      <c r="I119" s="689"/>
      <c r="J119" s="689"/>
      <c r="K119" s="689"/>
      <c r="L119" s="699"/>
      <c r="M119" s="700"/>
      <c r="N119" s="701"/>
      <c r="O119" s="701"/>
      <c r="P119" s="695"/>
      <c r="Q119" s="686"/>
      <c r="R119" s="697"/>
      <c r="S119" s="699"/>
      <c r="T119" s="699"/>
      <c r="U119" s="702"/>
      <c r="V119" s="698"/>
      <c r="W119" s="699"/>
      <c r="X119" s="697"/>
      <c r="Y119" s="697"/>
      <c r="Z119" s="698"/>
      <c r="AA119" s="687"/>
      <c r="AB119" s="687"/>
      <c r="AC119" s="717"/>
      <c r="AD119" s="689"/>
      <c r="AE119" s="689"/>
      <c r="AF119" s="690"/>
      <c r="AG119" s="689"/>
      <c r="AH119" s="689"/>
      <c r="AI119" s="691"/>
      <c r="AJ119" s="679"/>
    </row>
    <row r="120" spans="1:36" s="692" customFormat="1" ht="13.5" customHeight="1">
      <c r="A120" s="706" t="s">
        <v>1206</v>
      </c>
      <c r="B120" s="711">
        <v>150</v>
      </c>
      <c r="C120" s="673">
        <v>670</v>
      </c>
      <c r="D120" s="673">
        <v>300</v>
      </c>
      <c r="E120" s="708">
        <v>13</v>
      </c>
      <c r="F120" s="708">
        <v>17</v>
      </c>
      <c r="G120" s="674">
        <v>27</v>
      </c>
      <c r="H120" s="709">
        <v>190.9</v>
      </c>
      <c r="I120" s="673">
        <v>636</v>
      </c>
      <c r="J120" s="673">
        <v>582</v>
      </c>
      <c r="K120" s="673" t="s">
        <v>1141</v>
      </c>
      <c r="L120" s="710">
        <v>122</v>
      </c>
      <c r="M120" s="711">
        <v>198</v>
      </c>
      <c r="N120" s="712">
        <v>2.468</v>
      </c>
      <c r="O120" s="712">
        <v>16.46</v>
      </c>
      <c r="P120" s="706" t="s">
        <v>1206</v>
      </c>
      <c r="Q120" s="663">
        <v>150</v>
      </c>
      <c r="R120" s="708">
        <v>142700</v>
      </c>
      <c r="S120" s="710">
        <v>4260</v>
      </c>
      <c r="T120" s="710">
        <v>4840</v>
      </c>
      <c r="U120" s="713">
        <v>27.34</v>
      </c>
      <c r="V120" s="709">
        <v>100.3</v>
      </c>
      <c r="W120" s="710">
        <v>7673</v>
      </c>
      <c r="X120" s="708">
        <v>511.5</v>
      </c>
      <c r="Y120" s="708">
        <v>799.7</v>
      </c>
      <c r="Z120" s="709">
        <v>6.34</v>
      </c>
      <c r="AA120" s="671">
        <v>78.63</v>
      </c>
      <c r="AB120" s="671">
        <v>195.2</v>
      </c>
      <c r="AC120" s="718">
        <v>8155</v>
      </c>
      <c r="AD120" s="673">
        <v>1</v>
      </c>
      <c r="AE120" s="673">
        <v>2</v>
      </c>
      <c r="AF120" s="674" t="s">
        <v>600</v>
      </c>
      <c r="AG120" s="673">
        <v>4</v>
      </c>
      <c r="AH120" s="673">
        <v>4</v>
      </c>
      <c r="AI120" s="675" t="s">
        <v>600</v>
      </c>
      <c r="AJ120" s="673"/>
    </row>
    <row r="121" spans="1:36" s="628" customFormat="1" ht="13.5" customHeight="1">
      <c r="A121" s="695" t="s">
        <v>1207</v>
      </c>
      <c r="B121" s="715">
        <v>204</v>
      </c>
      <c r="C121" s="689">
        <v>690</v>
      </c>
      <c r="D121" s="689">
        <v>300</v>
      </c>
      <c r="E121" s="697">
        <v>14.5</v>
      </c>
      <c r="F121" s="697">
        <v>27</v>
      </c>
      <c r="G121" s="690">
        <v>27</v>
      </c>
      <c r="H121" s="698">
        <v>260.5</v>
      </c>
      <c r="I121" s="689">
        <v>636</v>
      </c>
      <c r="J121" s="689">
        <v>582</v>
      </c>
      <c r="K121" s="689" t="s">
        <v>1141</v>
      </c>
      <c r="L121" s="699">
        <v>124</v>
      </c>
      <c r="M121" s="700">
        <v>198</v>
      </c>
      <c r="N121" s="701">
        <v>2.5049999999999999</v>
      </c>
      <c r="O121" s="701">
        <v>12.25</v>
      </c>
      <c r="P121" s="695" t="s">
        <v>1207</v>
      </c>
      <c r="Q121" s="686">
        <v>204</v>
      </c>
      <c r="R121" s="697">
        <v>215300</v>
      </c>
      <c r="S121" s="699">
        <v>6241</v>
      </c>
      <c r="T121" s="699">
        <v>7032</v>
      </c>
      <c r="U121" s="702">
        <v>28.75</v>
      </c>
      <c r="V121" s="698">
        <v>117</v>
      </c>
      <c r="W121" s="699">
        <v>12180</v>
      </c>
      <c r="X121" s="697">
        <v>811.9</v>
      </c>
      <c r="Y121" s="697">
        <v>1257</v>
      </c>
      <c r="Z121" s="698">
        <v>6.84</v>
      </c>
      <c r="AA121" s="687">
        <v>100.1</v>
      </c>
      <c r="AB121" s="687">
        <v>513.9</v>
      </c>
      <c r="AC121" s="717">
        <v>13350</v>
      </c>
      <c r="AD121" s="689">
        <v>1</v>
      </c>
      <c r="AE121" s="689">
        <v>1</v>
      </c>
      <c r="AF121" s="690">
        <v>1</v>
      </c>
      <c r="AG121" s="689">
        <v>3</v>
      </c>
      <c r="AH121" s="689">
        <v>4</v>
      </c>
      <c r="AI121" s="691">
        <v>4</v>
      </c>
      <c r="AJ121" s="689" t="s">
        <v>1155</v>
      </c>
    </row>
    <row r="122" spans="1:36" s="692" customFormat="1" ht="13.5" customHeight="1">
      <c r="A122" s="662" t="s">
        <v>1208</v>
      </c>
      <c r="B122" s="669">
        <v>241</v>
      </c>
      <c r="C122" s="664">
        <v>700</v>
      </c>
      <c r="D122" s="664">
        <v>300</v>
      </c>
      <c r="E122" s="665">
        <v>17</v>
      </c>
      <c r="F122" s="665">
        <v>32</v>
      </c>
      <c r="G122" s="666">
        <v>27</v>
      </c>
      <c r="H122" s="667">
        <v>306.39999999999998</v>
      </c>
      <c r="I122" s="664">
        <v>636</v>
      </c>
      <c r="J122" s="664">
        <v>582</v>
      </c>
      <c r="K122" s="664" t="s">
        <v>1141</v>
      </c>
      <c r="L122" s="668">
        <v>126</v>
      </c>
      <c r="M122" s="669">
        <v>198</v>
      </c>
      <c r="N122" s="670">
        <v>2.52</v>
      </c>
      <c r="O122" s="670">
        <v>10.48</v>
      </c>
      <c r="P122" s="662" t="s">
        <v>1208</v>
      </c>
      <c r="Q122" s="663">
        <v>241</v>
      </c>
      <c r="R122" s="665">
        <v>256900</v>
      </c>
      <c r="S122" s="668">
        <v>7340</v>
      </c>
      <c r="T122" s="668">
        <v>8327</v>
      </c>
      <c r="U122" s="671">
        <v>28.96</v>
      </c>
      <c r="V122" s="667">
        <v>137.1</v>
      </c>
      <c r="W122" s="668">
        <v>14440</v>
      </c>
      <c r="X122" s="665">
        <v>962.7</v>
      </c>
      <c r="Y122" s="665">
        <v>1495</v>
      </c>
      <c r="Z122" s="667">
        <v>6.87</v>
      </c>
      <c r="AA122" s="671">
        <v>112.6</v>
      </c>
      <c r="AB122" s="671">
        <v>830.9</v>
      </c>
      <c r="AC122" s="718">
        <v>16060</v>
      </c>
      <c r="AD122" s="673">
        <v>1</v>
      </c>
      <c r="AE122" s="673">
        <v>1</v>
      </c>
      <c r="AF122" s="674">
        <v>1</v>
      </c>
      <c r="AG122" s="673">
        <v>2</v>
      </c>
      <c r="AH122" s="673">
        <v>4</v>
      </c>
      <c r="AI122" s="675">
        <v>4</v>
      </c>
      <c r="AJ122" s="664" t="s">
        <v>1155</v>
      </c>
    </row>
    <row r="123" spans="1:36" s="719" customFormat="1" ht="13.5" customHeight="1">
      <c r="A123" s="677" t="s">
        <v>1209</v>
      </c>
      <c r="B123" s="704">
        <v>301</v>
      </c>
      <c r="C123" s="679">
        <v>716</v>
      </c>
      <c r="D123" s="679">
        <v>304</v>
      </c>
      <c r="E123" s="680">
        <v>21</v>
      </c>
      <c r="F123" s="680">
        <v>40</v>
      </c>
      <c r="G123" s="681">
        <v>27</v>
      </c>
      <c r="H123" s="682">
        <v>383</v>
      </c>
      <c r="I123" s="679">
        <v>636</v>
      </c>
      <c r="J123" s="679">
        <v>582</v>
      </c>
      <c r="K123" s="679" t="s">
        <v>1141</v>
      </c>
      <c r="L123" s="683">
        <v>132</v>
      </c>
      <c r="M123" s="684">
        <v>200</v>
      </c>
      <c r="N123" s="685">
        <v>2.56</v>
      </c>
      <c r="O123" s="685">
        <v>8.5129999999999999</v>
      </c>
      <c r="P123" s="677" t="s">
        <v>1209</v>
      </c>
      <c r="Q123" s="686">
        <v>301</v>
      </c>
      <c r="R123" s="680">
        <v>329300</v>
      </c>
      <c r="S123" s="683">
        <v>9198</v>
      </c>
      <c r="T123" s="683">
        <v>10540</v>
      </c>
      <c r="U123" s="687">
        <v>29.32</v>
      </c>
      <c r="V123" s="682">
        <v>169.8</v>
      </c>
      <c r="W123" s="683">
        <v>18800</v>
      </c>
      <c r="X123" s="680">
        <v>1237</v>
      </c>
      <c r="Y123" s="680">
        <v>1929</v>
      </c>
      <c r="Z123" s="682">
        <v>7.01</v>
      </c>
      <c r="AA123" s="687">
        <v>132.6</v>
      </c>
      <c r="AB123" s="687">
        <v>1589</v>
      </c>
      <c r="AC123" s="717">
        <v>21400</v>
      </c>
      <c r="AD123" s="689">
        <v>1</v>
      </c>
      <c r="AE123" s="689">
        <v>1</v>
      </c>
      <c r="AF123" s="690">
        <v>1</v>
      </c>
      <c r="AG123" s="689">
        <v>1</v>
      </c>
      <c r="AH123" s="689">
        <v>2</v>
      </c>
      <c r="AI123" s="691">
        <v>3</v>
      </c>
      <c r="AJ123" s="679" t="s">
        <v>1155</v>
      </c>
    </row>
    <row r="124" spans="1:36" s="720" customFormat="1" ht="13.5" customHeight="1">
      <c r="A124" s="662" t="s">
        <v>1210</v>
      </c>
      <c r="B124" s="669">
        <v>352</v>
      </c>
      <c r="C124" s="664">
        <v>728</v>
      </c>
      <c r="D124" s="664">
        <v>308</v>
      </c>
      <c r="E124" s="665">
        <v>25</v>
      </c>
      <c r="F124" s="665">
        <v>46</v>
      </c>
      <c r="G124" s="666">
        <v>27</v>
      </c>
      <c r="H124" s="667">
        <v>448.6</v>
      </c>
      <c r="I124" s="664">
        <v>636</v>
      </c>
      <c r="J124" s="664">
        <v>582</v>
      </c>
      <c r="K124" s="664" t="s">
        <v>1141</v>
      </c>
      <c r="L124" s="668">
        <v>138</v>
      </c>
      <c r="M124" s="669">
        <v>200</v>
      </c>
      <c r="N124" s="670">
        <v>2.5920000000000001</v>
      </c>
      <c r="O124" s="670">
        <v>7.359</v>
      </c>
      <c r="P124" s="662" t="s">
        <v>1210</v>
      </c>
      <c r="Q124" s="663">
        <v>352</v>
      </c>
      <c r="R124" s="665">
        <v>389700</v>
      </c>
      <c r="S124" s="668">
        <v>10710</v>
      </c>
      <c r="T124" s="668">
        <v>12390</v>
      </c>
      <c r="U124" s="671">
        <v>29.47</v>
      </c>
      <c r="V124" s="667">
        <v>201.6</v>
      </c>
      <c r="W124" s="668">
        <v>22510</v>
      </c>
      <c r="X124" s="665">
        <v>1461</v>
      </c>
      <c r="Y124" s="665">
        <v>2293</v>
      </c>
      <c r="Z124" s="667">
        <v>7.08</v>
      </c>
      <c r="AA124" s="671">
        <v>148.6</v>
      </c>
      <c r="AB124" s="671">
        <v>2461</v>
      </c>
      <c r="AC124" s="718">
        <v>26050</v>
      </c>
      <c r="AD124" s="673">
        <v>1</v>
      </c>
      <c r="AE124" s="673">
        <v>1</v>
      </c>
      <c r="AF124" s="674">
        <v>1</v>
      </c>
      <c r="AG124" s="673">
        <v>1</v>
      </c>
      <c r="AH124" s="673">
        <v>1</v>
      </c>
      <c r="AI124" s="675">
        <v>1</v>
      </c>
      <c r="AJ124" s="664" t="s">
        <v>1155</v>
      </c>
    </row>
    <row r="125" spans="1:36" s="628" customFormat="1" ht="13.5" customHeight="1">
      <c r="A125" s="677" t="s">
        <v>1211</v>
      </c>
      <c r="B125" s="704">
        <v>418</v>
      </c>
      <c r="C125" s="679">
        <v>744</v>
      </c>
      <c r="D125" s="679">
        <v>313</v>
      </c>
      <c r="E125" s="680">
        <v>29.5</v>
      </c>
      <c r="F125" s="680">
        <v>54</v>
      </c>
      <c r="G125" s="681">
        <v>27</v>
      </c>
      <c r="H125" s="682">
        <v>531.9</v>
      </c>
      <c r="I125" s="679">
        <v>636</v>
      </c>
      <c r="J125" s="679">
        <v>582</v>
      </c>
      <c r="K125" s="679" t="s">
        <v>1141</v>
      </c>
      <c r="L125" s="683">
        <v>142</v>
      </c>
      <c r="M125" s="684">
        <v>206</v>
      </c>
      <c r="N125" s="685">
        <v>2.6349999999999998</v>
      </c>
      <c r="O125" s="685">
        <v>6.31</v>
      </c>
      <c r="P125" s="677" t="s">
        <v>1211</v>
      </c>
      <c r="Q125" s="686">
        <v>418</v>
      </c>
      <c r="R125" s="680">
        <v>472500</v>
      </c>
      <c r="S125" s="683">
        <v>12700</v>
      </c>
      <c r="T125" s="683">
        <v>14840</v>
      </c>
      <c r="U125" s="687">
        <v>29.8</v>
      </c>
      <c r="V125" s="682">
        <v>239</v>
      </c>
      <c r="W125" s="683">
        <v>27760</v>
      </c>
      <c r="X125" s="680">
        <v>1774</v>
      </c>
      <c r="Y125" s="680">
        <v>2797</v>
      </c>
      <c r="Z125" s="682">
        <v>7.22</v>
      </c>
      <c r="AA125" s="687">
        <v>169.1</v>
      </c>
      <c r="AB125" s="687">
        <v>3989</v>
      </c>
      <c r="AC125" s="717">
        <v>32850</v>
      </c>
      <c r="AD125" s="689">
        <v>1</v>
      </c>
      <c r="AE125" s="689">
        <v>1</v>
      </c>
      <c r="AF125" s="690">
        <v>1</v>
      </c>
      <c r="AG125" s="689">
        <v>1</v>
      </c>
      <c r="AH125" s="689">
        <v>1</v>
      </c>
      <c r="AI125" s="691">
        <v>1</v>
      </c>
      <c r="AJ125" s="679" t="s">
        <v>1155</v>
      </c>
    </row>
    <row r="126" spans="1:36" s="628" customFormat="1" ht="13.5" customHeight="1">
      <c r="A126" s="695"/>
      <c r="B126" s="715"/>
      <c r="C126" s="689"/>
      <c r="D126" s="689"/>
      <c r="E126" s="697"/>
      <c r="F126" s="697"/>
      <c r="G126" s="690"/>
      <c r="H126" s="698"/>
      <c r="I126" s="689"/>
      <c r="J126" s="689"/>
      <c r="K126" s="689"/>
      <c r="L126" s="699"/>
      <c r="M126" s="700"/>
      <c r="N126" s="701"/>
      <c r="O126" s="701"/>
      <c r="P126" s="695"/>
      <c r="Q126" s="686"/>
      <c r="R126" s="697"/>
      <c r="S126" s="699"/>
      <c r="T126" s="699"/>
      <c r="U126" s="702"/>
      <c r="V126" s="698"/>
      <c r="W126" s="699"/>
      <c r="X126" s="697"/>
      <c r="Y126" s="697"/>
      <c r="Z126" s="698"/>
      <c r="AA126" s="687"/>
      <c r="AB126" s="687"/>
      <c r="AC126" s="717"/>
      <c r="AD126" s="689"/>
      <c r="AE126" s="689"/>
      <c r="AF126" s="690"/>
      <c r="AG126" s="689"/>
      <c r="AH126" s="689"/>
      <c r="AI126" s="691"/>
      <c r="AJ126" s="689"/>
    </row>
    <row r="127" spans="1:36" s="692" customFormat="1" ht="13.5" customHeight="1">
      <c r="A127" s="706" t="s">
        <v>1212</v>
      </c>
      <c r="B127" s="711">
        <v>172</v>
      </c>
      <c r="C127" s="673">
        <v>770</v>
      </c>
      <c r="D127" s="673">
        <v>300</v>
      </c>
      <c r="E127" s="708">
        <v>14</v>
      </c>
      <c r="F127" s="708">
        <v>18</v>
      </c>
      <c r="G127" s="674">
        <v>30</v>
      </c>
      <c r="H127" s="709">
        <v>218.5</v>
      </c>
      <c r="I127" s="673">
        <v>734</v>
      </c>
      <c r="J127" s="673">
        <v>674</v>
      </c>
      <c r="K127" s="673" t="s">
        <v>1141</v>
      </c>
      <c r="L127" s="710">
        <v>130</v>
      </c>
      <c r="M127" s="711">
        <v>198</v>
      </c>
      <c r="N127" s="712">
        <v>2.66</v>
      </c>
      <c r="O127" s="712">
        <v>15.51</v>
      </c>
      <c r="P127" s="706" t="s">
        <v>1212</v>
      </c>
      <c r="Q127" s="663">
        <v>172</v>
      </c>
      <c r="R127" s="708">
        <v>208900</v>
      </c>
      <c r="S127" s="710">
        <v>5426</v>
      </c>
      <c r="T127" s="710">
        <v>6225</v>
      </c>
      <c r="U127" s="713">
        <v>30.92</v>
      </c>
      <c r="V127" s="709">
        <v>123.8</v>
      </c>
      <c r="W127" s="710">
        <v>8134</v>
      </c>
      <c r="X127" s="708">
        <v>542.20000000000005</v>
      </c>
      <c r="Y127" s="708">
        <v>856.6</v>
      </c>
      <c r="Z127" s="709">
        <v>6.1</v>
      </c>
      <c r="AA127" s="671">
        <v>85.15</v>
      </c>
      <c r="AB127" s="671">
        <v>256.8</v>
      </c>
      <c r="AC127" s="718">
        <v>11450</v>
      </c>
      <c r="AD127" s="673">
        <v>1</v>
      </c>
      <c r="AE127" s="673">
        <v>2</v>
      </c>
      <c r="AF127" s="674" t="s">
        <v>600</v>
      </c>
      <c r="AG127" s="673">
        <v>4</v>
      </c>
      <c r="AH127" s="673">
        <v>4</v>
      </c>
      <c r="AI127" s="675" t="s">
        <v>600</v>
      </c>
      <c r="AJ127" s="673"/>
    </row>
    <row r="128" spans="1:36" s="628" customFormat="1" ht="13.5" customHeight="1">
      <c r="A128" s="695" t="s">
        <v>1213</v>
      </c>
      <c r="B128" s="715">
        <v>224</v>
      </c>
      <c r="C128" s="689">
        <v>790</v>
      </c>
      <c r="D128" s="689">
        <v>300</v>
      </c>
      <c r="E128" s="697">
        <v>15</v>
      </c>
      <c r="F128" s="697">
        <v>28</v>
      </c>
      <c r="G128" s="690">
        <v>30</v>
      </c>
      <c r="H128" s="698">
        <v>285.8</v>
      </c>
      <c r="I128" s="689">
        <v>734</v>
      </c>
      <c r="J128" s="689">
        <v>674</v>
      </c>
      <c r="K128" s="689" t="s">
        <v>1141</v>
      </c>
      <c r="L128" s="699">
        <v>130</v>
      </c>
      <c r="M128" s="700">
        <v>198</v>
      </c>
      <c r="N128" s="701">
        <v>2.698</v>
      </c>
      <c r="O128" s="701">
        <v>12.03</v>
      </c>
      <c r="P128" s="695" t="s">
        <v>1213</v>
      </c>
      <c r="Q128" s="686">
        <v>224</v>
      </c>
      <c r="R128" s="697">
        <v>303400</v>
      </c>
      <c r="S128" s="699">
        <v>7682</v>
      </c>
      <c r="T128" s="699">
        <v>8699</v>
      </c>
      <c r="U128" s="702">
        <v>32.58</v>
      </c>
      <c r="V128" s="698">
        <v>138.80000000000001</v>
      </c>
      <c r="W128" s="699">
        <v>12640</v>
      </c>
      <c r="X128" s="697">
        <v>842.6</v>
      </c>
      <c r="Y128" s="697">
        <v>1312</v>
      </c>
      <c r="Z128" s="698">
        <v>6.65</v>
      </c>
      <c r="AA128" s="687">
        <v>106.1</v>
      </c>
      <c r="AB128" s="687">
        <v>596.9</v>
      </c>
      <c r="AC128" s="717">
        <v>18290</v>
      </c>
      <c r="AD128" s="689">
        <v>1</v>
      </c>
      <c r="AE128" s="689">
        <v>1</v>
      </c>
      <c r="AF128" s="690">
        <v>1</v>
      </c>
      <c r="AG128" s="689">
        <v>4</v>
      </c>
      <c r="AH128" s="689">
        <v>4</v>
      </c>
      <c r="AI128" s="691">
        <v>4</v>
      </c>
      <c r="AJ128" s="679" t="s">
        <v>1155</v>
      </c>
    </row>
    <row r="129" spans="1:36" s="720" customFormat="1" ht="13.5" customHeight="1">
      <c r="A129" s="706" t="s">
        <v>1214</v>
      </c>
      <c r="B129" s="711">
        <v>262</v>
      </c>
      <c r="C129" s="673">
        <v>800</v>
      </c>
      <c r="D129" s="673">
        <v>300</v>
      </c>
      <c r="E129" s="708">
        <v>17.5</v>
      </c>
      <c r="F129" s="708">
        <v>33</v>
      </c>
      <c r="G129" s="674">
        <v>30</v>
      </c>
      <c r="H129" s="709">
        <v>334.2</v>
      </c>
      <c r="I129" s="673">
        <v>734</v>
      </c>
      <c r="J129" s="673">
        <v>674</v>
      </c>
      <c r="K129" s="673" t="s">
        <v>1141</v>
      </c>
      <c r="L129" s="710">
        <v>134</v>
      </c>
      <c r="M129" s="711">
        <v>198</v>
      </c>
      <c r="N129" s="712">
        <v>2.7130000000000001</v>
      </c>
      <c r="O129" s="712">
        <v>10.34</v>
      </c>
      <c r="P129" s="706" t="s">
        <v>1214</v>
      </c>
      <c r="Q129" s="663">
        <v>262</v>
      </c>
      <c r="R129" s="708">
        <v>359100</v>
      </c>
      <c r="S129" s="710">
        <v>8977</v>
      </c>
      <c r="T129" s="710">
        <v>10230</v>
      </c>
      <c r="U129" s="713">
        <v>32.78</v>
      </c>
      <c r="V129" s="709">
        <v>161.80000000000001</v>
      </c>
      <c r="W129" s="710">
        <v>14900</v>
      </c>
      <c r="X129" s="708">
        <v>993.6</v>
      </c>
      <c r="Y129" s="708">
        <v>1553</v>
      </c>
      <c r="Z129" s="709">
        <v>6.68</v>
      </c>
      <c r="AA129" s="671">
        <v>118.6</v>
      </c>
      <c r="AB129" s="671">
        <v>946</v>
      </c>
      <c r="AC129" s="718">
        <v>21840</v>
      </c>
      <c r="AD129" s="673">
        <v>1</v>
      </c>
      <c r="AE129" s="673">
        <v>1</v>
      </c>
      <c r="AF129" s="674">
        <v>1</v>
      </c>
      <c r="AG129" s="673">
        <v>3</v>
      </c>
      <c r="AH129" s="673">
        <v>4</v>
      </c>
      <c r="AI129" s="675">
        <v>4</v>
      </c>
      <c r="AJ129" s="664" t="s">
        <v>1155</v>
      </c>
    </row>
    <row r="130" spans="1:36" s="719" customFormat="1" ht="13.5" customHeight="1">
      <c r="A130" s="695" t="s">
        <v>1215</v>
      </c>
      <c r="B130" s="715">
        <v>317</v>
      </c>
      <c r="C130" s="689">
        <v>814</v>
      </c>
      <c r="D130" s="689">
        <v>303</v>
      </c>
      <c r="E130" s="697">
        <v>21</v>
      </c>
      <c r="F130" s="697">
        <v>40</v>
      </c>
      <c r="G130" s="690">
        <v>30</v>
      </c>
      <c r="H130" s="698">
        <v>404.3</v>
      </c>
      <c r="I130" s="689">
        <v>734</v>
      </c>
      <c r="J130" s="689">
        <v>674</v>
      </c>
      <c r="K130" s="689" t="s">
        <v>1141</v>
      </c>
      <c r="L130" s="699">
        <v>138</v>
      </c>
      <c r="M130" s="700">
        <v>198</v>
      </c>
      <c r="N130" s="701">
        <v>2.746</v>
      </c>
      <c r="O130" s="701">
        <v>8.6549999999999994</v>
      </c>
      <c r="P130" s="695" t="s">
        <v>1215</v>
      </c>
      <c r="Q130" s="686">
        <v>317</v>
      </c>
      <c r="R130" s="697">
        <v>442600</v>
      </c>
      <c r="S130" s="699">
        <v>10870</v>
      </c>
      <c r="T130" s="699">
        <v>12490</v>
      </c>
      <c r="U130" s="702">
        <v>33.090000000000003</v>
      </c>
      <c r="V130" s="698">
        <v>194.3</v>
      </c>
      <c r="W130" s="699">
        <v>18630</v>
      </c>
      <c r="X130" s="697">
        <v>1230</v>
      </c>
      <c r="Y130" s="697">
        <v>1930</v>
      </c>
      <c r="Z130" s="698">
        <v>6.79</v>
      </c>
      <c r="AA130" s="687">
        <v>136.1</v>
      </c>
      <c r="AB130" s="687">
        <v>1646</v>
      </c>
      <c r="AC130" s="717">
        <v>27780</v>
      </c>
      <c r="AD130" s="689">
        <v>1</v>
      </c>
      <c r="AE130" s="689">
        <v>1</v>
      </c>
      <c r="AF130" s="690">
        <v>1</v>
      </c>
      <c r="AG130" s="689">
        <v>1</v>
      </c>
      <c r="AH130" s="689">
        <v>3</v>
      </c>
      <c r="AI130" s="691">
        <v>4</v>
      </c>
      <c r="AJ130" s="679" t="s">
        <v>1155</v>
      </c>
    </row>
    <row r="131" spans="1:36" s="692" customFormat="1" ht="13.5" customHeight="1">
      <c r="A131" s="706" t="s">
        <v>1216</v>
      </c>
      <c r="B131" s="711">
        <v>373</v>
      </c>
      <c r="C131" s="673">
        <v>826</v>
      </c>
      <c r="D131" s="673">
        <v>308</v>
      </c>
      <c r="E131" s="708">
        <v>25</v>
      </c>
      <c r="F131" s="708">
        <v>46</v>
      </c>
      <c r="G131" s="674">
        <v>30</v>
      </c>
      <c r="H131" s="709">
        <v>474.6</v>
      </c>
      <c r="I131" s="673">
        <v>734</v>
      </c>
      <c r="J131" s="673">
        <v>674</v>
      </c>
      <c r="K131" s="673" t="s">
        <v>1141</v>
      </c>
      <c r="L131" s="710">
        <v>144</v>
      </c>
      <c r="M131" s="711">
        <v>200</v>
      </c>
      <c r="N131" s="712">
        <v>2.782</v>
      </c>
      <c r="O131" s="712">
        <v>7.4690000000000003</v>
      </c>
      <c r="P131" s="706" t="s">
        <v>1216</v>
      </c>
      <c r="Q131" s="663">
        <v>373</v>
      </c>
      <c r="R131" s="708">
        <v>523900</v>
      </c>
      <c r="S131" s="710">
        <v>12690</v>
      </c>
      <c r="T131" s="710">
        <v>14700</v>
      </c>
      <c r="U131" s="713">
        <v>33.229999999999997</v>
      </c>
      <c r="V131" s="709">
        <v>230.3</v>
      </c>
      <c r="W131" s="710">
        <v>22530</v>
      </c>
      <c r="X131" s="708">
        <v>1463</v>
      </c>
      <c r="Y131" s="708">
        <v>2311</v>
      </c>
      <c r="Z131" s="709">
        <v>6.89</v>
      </c>
      <c r="AA131" s="671">
        <v>152.1</v>
      </c>
      <c r="AB131" s="671">
        <v>2554</v>
      </c>
      <c r="AC131" s="718">
        <v>34070</v>
      </c>
      <c r="AD131" s="673">
        <v>1</v>
      </c>
      <c r="AE131" s="673">
        <v>1</v>
      </c>
      <c r="AF131" s="674">
        <v>1</v>
      </c>
      <c r="AG131" s="673">
        <v>1</v>
      </c>
      <c r="AH131" s="673">
        <v>2</v>
      </c>
      <c r="AI131" s="675">
        <v>2</v>
      </c>
      <c r="AJ131" s="664" t="s">
        <v>1155</v>
      </c>
    </row>
    <row r="132" spans="1:36" s="628" customFormat="1" ht="13.5" customHeight="1">
      <c r="A132" s="695" t="s">
        <v>1217</v>
      </c>
      <c r="B132" s="715">
        <v>444</v>
      </c>
      <c r="C132" s="689">
        <v>842</v>
      </c>
      <c r="D132" s="689">
        <v>313</v>
      </c>
      <c r="E132" s="697">
        <v>30</v>
      </c>
      <c r="F132" s="697">
        <v>54</v>
      </c>
      <c r="G132" s="690">
        <v>30</v>
      </c>
      <c r="H132" s="698">
        <v>566</v>
      </c>
      <c r="I132" s="689">
        <v>734</v>
      </c>
      <c r="J132" s="689">
        <v>674</v>
      </c>
      <c r="K132" s="689" t="s">
        <v>1141</v>
      </c>
      <c r="L132" s="699">
        <v>148</v>
      </c>
      <c r="M132" s="700">
        <v>206</v>
      </c>
      <c r="N132" s="701">
        <v>2.8239999999999998</v>
      </c>
      <c r="O132" s="701">
        <v>6.3570000000000002</v>
      </c>
      <c r="P132" s="695" t="s">
        <v>1217</v>
      </c>
      <c r="Q132" s="686">
        <v>444</v>
      </c>
      <c r="R132" s="697">
        <v>634500</v>
      </c>
      <c r="S132" s="699">
        <v>15070</v>
      </c>
      <c r="T132" s="699">
        <v>17640</v>
      </c>
      <c r="U132" s="702">
        <v>33.479999999999997</v>
      </c>
      <c r="V132" s="698">
        <v>276.5</v>
      </c>
      <c r="W132" s="699">
        <v>27800</v>
      </c>
      <c r="X132" s="697">
        <v>1776</v>
      </c>
      <c r="Y132" s="697">
        <v>2827</v>
      </c>
      <c r="Z132" s="698">
        <v>7.01</v>
      </c>
      <c r="AA132" s="687">
        <v>173.1</v>
      </c>
      <c r="AB132" s="687">
        <v>4180</v>
      </c>
      <c r="AC132" s="717">
        <v>42840</v>
      </c>
      <c r="AD132" s="689">
        <v>1</v>
      </c>
      <c r="AE132" s="689">
        <v>1</v>
      </c>
      <c r="AF132" s="690">
        <v>1</v>
      </c>
      <c r="AG132" s="689">
        <v>1</v>
      </c>
      <c r="AH132" s="689">
        <v>1</v>
      </c>
      <c r="AI132" s="691">
        <v>1</v>
      </c>
      <c r="AJ132" s="689" t="s">
        <v>1155</v>
      </c>
    </row>
    <row r="133" spans="1:36" s="628" customFormat="1" ht="13.5" customHeight="1">
      <c r="A133" s="695"/>
      <c r="B133" s="715"/>
      <c r="C133" s="689"/>
      <c r="D133" s="689"/>
      <c r="E133" s="697"/>
      <c r="F133" s="697"/>
      <c r="G133" s="690"/>
      <c r="H133" s="698"/>
      <c r="I133" s="689"/>
      <c r="J133" s="689"/>
      <c r="K133" s="689"/>
      <c r="L133" s="699"/>
      <c r="M133" s="700"/>
      <c r="N133" s="701"/>
      <c r="O133" s="701"/>
      <c r="P133" s="695"/>
      <c r="Q133" s="686"/>
      <c r="R133" s="697"/>
      <c r="S133" s="699"/>
      <c r="T133" s="699"/>
      <c r="U133" s="702"/>
      <c r="V133" s="698"/>
      <c r="W133" s="699"/>
      <c r="X133" s="697"/>
      <c r="Y133" s="697"/>
      <c r="Z133" s="698"/>
      <c r="AA133" s="687"/>
      <c r="AB133" s="687"/>
      <c r="AC133" s="717"/>
      <c r="AD133" s="689"/>
      <c r="AE133" s="689"/>
      <c r="AF133" s="690"/>
      <c r="AG133" s="689"/>
      <c r="AH133" s="689"/>
      <c r="AI133" s="691"/>
      <c r="AJ133" s="689"/>
    </row>
    <row r="134" spans="1:36" s="692" customFormat="1" ht="13.5" customHeight="1">
      <c r="A134" s="662" t="s">
        <v>1218</v>
      </c>
      <c r="B134" s="669">
        <v>198</v>
      </c>
      <c r="C134" s="664">
        <v>870</v>
      </c>
      <c r="D134" s="664">
        <v>300</v>
      </c>
      <c r="E134" s="665">
        <v>15</v>
      </c>
      <c r="F134" s="665">
        <v>20</v>
      </c>
      <c r="G134" s="666">
        <v>30</v>
      </c>
      <c r="H134" s="667">
        <v>252.2</v>
      </c>
      <c r="I134" s="664">
        <v>830</v>
      </c>
      <c r="J134" s="664">
        <v>770</v>
      </c>
      <c r="K134" s="664" t="s">
        <v>1141</v>
      </c>
      <c r="L134" s="668">
        <v>130</v>
      </c>
      <c r="M134" s="669">
        <v>198</v>
      </c>
      <c r="N134" s="670">
        <v>2.8580000000000001</v>
      </c>
      <c r="O134" s="670">
        <v>14.44</v>
      </c>
      <c r="P134" s="662" t="s">
        <v>1218</v>
      </c>
      <c r="Q134" s="663">
        <v>198</v>
      </c>
      <c r="R134" s="665">
        <v>301100</v>
      </c>
      <c r="S134" s="668">
        <v>6923</v>
      </c>
      <c r="T134" s="668">
        <v>7999</v>
      </c>
      <c r="U134" s="671">
        <v>34.549999999999997</v>
      </c>
      <c r="V134" s="667">
        <v>147.19999999999999</v>
      </c>
      <c r="W134" s="668">
        <v>9041</v>
      </c>
      <c r="X134" s="665">
        <v>602.79999999999995</v>
      </c>
      <c r="Y134" s="665">
        <v>957.7</v>
      </c>
      <c r="Z134" s="667">
        <v>5.99</v>
      </c>
      <c r="AA134" s="671">
        <v>90.15</v>
      </c>
      <c r="AB134" s="671">
        <v>334.9</v>
      </c>
      <c r="AC134" s="718">
        <v>16260</v>
      </c>
      <c r="AD134" s="673">
        <v>1</v>
      </c>
      <c r="AE134" s="673">
        <v>1</v>
      </c>
      <c r="AF134" s="674" t="s">
        <v>600</v>
      </c>
      <c r="AG134" s="673">
        <v>4</v>
      </c>
      <c r="AH134" s="673">
        <v>4</v>
      </c>
      <c r="AI134" s="675" t="s">
        <v>600</v>
      </c>
      <c r="AJ134" s="664"/>
    </row>
    <row r="135" spans="1:36" s="719" customFormat="1" ht="13.5" customHeight="1">
      <c r="A135" s="677" t="s">
        <v>1219</v>
      </c>
      <c r="B135" s="704">
        <v>252</v>
      </c>
      <c r="C135" s="679">
        <v>890</v>
      </c>
      <c r="D135" s="679">
        <v>300</v>
      </c>
      <c r="E135" s="680">
        <v>16</v>
      </c>
      <c r="F135" s="680">
        <v>30</v>
      </c>
      <c r="G135" s="681">
        <v>30</v>
      </c>
      <c r="H135" s="682">
        <v>320.5</v>
      </c>
      <c r="I135" s="679">
        <v>830</v>
      </c>
      <c r="J135" s="679">
        <v>770</v>
      </c>
      <c r="K135" s="679" t="s">
        <v>1141</v>
      </c>
      <c r="L135" s="683">
        <v>132</v>
      </c>
      <c r="M135" s="684">
        <v>198</v>
      </c>
      <c r="N135" s="685">
        <v>2.8959999999999999</v>
      </c>
      <c r="O135" s="685">
        <v>11.51</v>
      </c>
      <c r="P135" s="677" t="s">
        <v>1219</v>
      </c>
      <c r="Q135" s="686">
        <v>252</v>
      </c>
      <c r="R135" s="680">
        <v>422100</v>
      </c>
      <c r="S135" s="683">
        <v>9485</v>
      </c>
      <c r="T135" s="683">
        <v>10810</v>
      </c>
      <c r="U135" s="687">
        <v>36.29</v>
      </c>
      <c r="V135" s="682">
        <v>163.30000000000001</v>
      </c>
      <c r="W135" s="683">
        <v>13550</v>
      </c>
      <c r="X135" s="680">
        <v>903.2</v>
      </c>
      <c r="Y135" s="680">
        <v>1414</v>
      </c>
      <c r="Z135" s="682">
        <v>6.5</v>
      </c>
      <c r="AA135" s="687">
        <v>111.1</v>
      </c>
      <c r="AB135" s="687">
        <v>736.8</v>
      </c>
      <c r="AC135" s="717">
        <v>24960</v>
      </c>
      <c r="AD135" s="689">
        <v>1</v>
      </c>
      <c r="AE135" s="689">
        <v>1</v>
      </c>
      <c r="AF135" s="690">
        <v>1</v>
      </c>
      <c r="AG135" s="689">
        <v>4</v>
      </c>
      <c r="AH135" s="689">
        <v>4</v>
      </c>
      <c r="AI135" s="691">
        <v>4</v>
      </c>
      <c r="AJ135" s="679" t="s">
        <v>1155</v>
      </c>
    </row>
    <row r="136" spans="1:36" s="720" customFormat="1" ht="13.5" customHeight="1">
      <c r="A136" s="662" t="s">
        <v>1220</v>
      </c>
      <c r="B136" s="669">
        <v>291</v>
      </c>
      <c r="C136" s="664">
        <v>900</v>
      </c>
      <c r="D136" s="664">
        <v>300</v>
      </c>
      <c r="E136" s="665">
        <v>18.5</v>
      </c>
      <c r="F136" s="665">
        <v>35</v>
      </c>
      <c r="G136" s="666">
        <v>30</v>
      </c>
      <c r="H136" s="667">
        <v>371.3</v>
      </c>
      <c r="I136" s="664">
        <v>830</v>
      </c>
      <c r="J136" s="664">
        <v>770</v>
      </c>
      <c r="K136" s="664" t="s">
        <v>1141</v>
      </c>
      <c r="L136" s="668">
        <v>134</v>
      </c>
      <c r="M136" s="669">
        <v>198</v>
      </c>
      <c r="N136" s="670">
        <v>2.911</v>
      </c>
      <c r="O136" s="670">
        <v>9.99</v>
      </c>
      <c r="P136" s="662" t="s">
        <v>1220</v>
      </c>
      <c r="Q136" s="663">
        <v>291</v>
      </c>
      <c r="R136" s="665">
        <v>494100</v>
      </c>
      <c r="S136" s="668">
        <v>10980</v>
      </c>
      <c r="T136" s="668">
        <v>12580</v>
      </c>
      <c r="U136" s="671">
        <v>36.479999999999997</v>
      </c>
      <c r="V136" s="667">
        <v>188.8</v>
      </c>
      <c r="W136" s="668">
        <v>15820</v>
      </c>
      <c r="X136" s="665">
        <v>1054</v>
      </c>
      <c r="Y136" s="665">
        <v>1658</v>
      </c>
      <c r="Z136" s="667">
        <v>6.53</v>
      </c>
      <c r="AA136" s="671">
        <v>123.6</v>
      </c>
      <c r="AB136" s="671">
        <v>1137</v>
      </c>
      <c r="AC136" s="718">
        <v>29460</v>
      </c>
      <c r="AD136" s="673">
        <v>1</v>
      </c>
      <c r="AE136" s="673">
        <v>1</v>
      </c>
      <c r="AF136" s="674">
        <v>1</v>
      </c>
      <c r="AG136" s="673">
        <v>3</v>
      </c>
      <c r="AH136" s="673">
        <v>4</v>
      </c>
      <c r="AI136" s="675">
        <v>4</v>
      </c>
      <c r="AJ136" s="664" t="s">
        <v>1155</v>
      </c>
    </row>
    <row r="137" spans="1:36" s="628" customFormat="1" ht="13.5" customHeight="1">
      <c r="A137" s="677" t="s">
        <v>1221</v>
      </c>
      <c r="B137" s="704">
        <v>333</v>
      </c>
      <c r="C137" s="679">
        <v>910</v>
      </c>
      <c r="D137" s="679">
        <v>302</v>
      </c>
      <c r="E137" s="680">
        <v>21</v>
      </c>
      <c r="F137" s="680">
        <v>40</v>
      </c>
      <c r="G137" s="681">
        <v>30</v>
      </c>
      <c r="H137" s="682">
        <v>423.6</v>
      </c>
      <c r="I137" s="679">
        <v>830</v>
      </c>
      <c r="J137" s="679">
        <v>770</v>
      </c>
      <c r="K137" s="679" t="s">
        <v>1141</v>
      </c>
      <c r="L137" s="683">
        <v>138</v>
      </c>
      <c r="M137" s="684">
        <v>198</v>
      </c>
      <c r="N137" s="685">
        <v>2.9340000000000002</v>
      </c>
      <c r="O137" s="685">
        <v>8.8239999999999998</v>
      </c>
      <c r="P137" s="677" t="s">
        <v>1221</v>
      </c>
      <c r="Q137" s="686">
        <v>333</v>
      </c>
      <c r="R137" s="680">
        <v>570400</v>
      </c>
      <c r="S137" s="683">
        <v>12540</v>
      </c>
      <c r="T137" s="683">
        <v>14440</v>
      </c>
      <c r="U137" s="687">
        <v>36.700000000000003</v>
      </c>
      <c r="V137" s="682">
        <v>214.4</v>
      </c>
      <c r="W137" s="683">
        <v>18450</v>
      </c>
      <c r="X137" s="680">
        <v>1222</v>
      </c>
      <c r="Y137" s="680">
        <v>1929</v>
      </c>
      <c r="Z137" s="682">
        <v>6.6</v>
      </c>
      <c r="AA137" s="687">
        <v>136.1</v>
      </c>
      <c r="AB137" s="687">
        <v>1671</v>
      </c>
      <c r="AC137" s="717">
        <v>34750</v>
      </c>
      <c r="AD137" s="689">
        <v>1</v>
      </c>
      <c r="AE137" s="689">
        <v>1</v>
      </c>
      <c r="AF137" s="690">
        <v>1</v>
      </c>
      <c r="AG137" s="689">
        <v>2</v>
      </c>
      <c r="AH137" s="689">
        <v>4</v>
      </c>
      <c r="AI137" s="691">
        <v>4</v>
      </c>
      <c r="AJ137" s="679" t="s">
        <v>1155</v>
      </c>
    </row>
    <row r="138" spans="1:36" s="692" customFormat="1" ht="13.5" customHeight="1">
      <c r="A138" s="706" t="s">
        <v>1222</v>
      </c>
      <c r="B138" s="711">
        <v>391</v>
      </c>
      <c r="C138" s="673">
        <v>922</v>
      </c>
      <c r="D138" s="673">
        <v>307</v>
      </c>
      <c r="E138" s="708">
        <v>25</v>
      </c>
      <c r="F138" s="708">
        <v>46</v>
      </c>
      <c r="G138" s="674">
        <v>30</v>
      </c>
      <c r="H138" s="709">
        <v>497.7</v>
      </c>
      <c r="I138" s="710">
        <v>830</v>
      </c>
      <c r="J138" s="710">
        <v>770</v>
      </c>
      <c r="K138" s="673" t="s">
        <v>1141</v>
      </c>
      <c r="L138" s="710">
        <v>144</v>
      </c>
      <c r="M138" s="711">
        <v>200</v>
      </c>
      <c r="N138" s="712">
        <v>2.97</v>
      </c>
      <c r="O138" s="712">
        <v>7.6040000000000001</v>
      </c>
      <c r="P138" s="706" t="s">
        <v>1222</v>
      </c>
      <c r="Q138" s="707">
        <v>391</v>
      </c>
      <c r="R138" s="708">
        <v>674300</v>
      </c>
      <c r="S138" s="710">
        <v>14630</v>
      </c>
      <c r="T138" s="710">
        <v>16990</v>
      </c>
      <c r="U138" s="713">
        <v>36.81</v>
      </c>
      <c r="V138" s="709">
        <v>254.3</v>
      </c>
      <c r="W138" s="710">
        <v>22320</v>
      </c>
      <c r="X138" s="708">
        <v>1454</v>
      </c>
      <c r="Y138" s="708">
        <v>2312</v>
      </c>
      <c r="Z138" s="709">
        <v>6.7</v>
      </c>
      <c r="AA138" s="671">
        <v>152.1</v>
      </c>
      <c r="AB138" s="671">
        <v>2597</v>
      </c>
      <c r="AC138" s="718">
        <v>42560</v>
      </c>
      <c r="AD138" s="673">
        <v>1</v>
      </c>
      <c r="AE138" s="673">
        <v>1</v>
      </c>
      <c r="AF138" s="674">
        <v>1</v>
      </c>
      <c r="AG138" s="673">
        <v>1</v>
      </c>
      <c r="AH138" s="673">
        <v>3</v>
      </c>
      <c r="AI138" s="675">
        <v>4</v>
      </c>
      <c r="AJ138" s="673" t="s">
        <v>1155</v>
      </c>
    </row>
    <row r="139" spans="1:36" s="628" customFormat="1" ht="13.5" customHeight="1">
      <c r="A139" s="695" t="s">
        <v>1223</v>
      </c>
      <c r="B139" s="715">
        <v>466</v>
      </c>
      <c r="C139" s="689">
        <v>938</v>
      </c>
      <c r="D139" s="689">
        <v>312</v>
      </c>
      <c r="E139" s="697">
        <v>30</v>
      </c>
      <c r="F139" s="697">
        <v>54</v>
      </c>
      <c r="G139" s="690">
        <v>30</v>
      </c>
      <c r="H139" s="698">
        <v>593.70000000000005</v>
      </c>
      <c r="I139" s="689">
        <v>830</v>
      </c>
      <c r="J139" s="689">
        <v>770</v>
      </c>
      <c r="K139" s="689" t="s">
        <v>1141</v>
      </c>
      <c r="L139" s="699">
        <v>148</v>
      </c>
      <c r="M139" s="700">
        <v>204</v>
      </c>
      <c r="N139" s="701">
        <v>3.012</v>
      </c>
      <c r="O139" s="701">
        <v>6.4640000000000004</v>
      </c>
      <c r="P139" s="695" t="s">
        <v>1223</v>
      </c>
      <c r="Q139" s="686">
        <v>466</v>
      </c>
      <c r="R139" s="697">
        <v>814900</v>
      </c>
      <c r="S139" s="699">
        <v>17380</v>
      </c>
      <c r="T139" s="699">
        <v>20380</v>
      </c>
      <c r="U139" s="702">
        <v>37.049999999999997</v>
      </c>
      <c r="V139" s="698">
        <v>305.3</v>
      </c>
      <c r="W139" s="699">
        <v>27560</v>
      </c>
      <c r="X139" s="697">
        <v>1767</v>
      </c>
      <c r="Y139" s="697">
        <v>2832</v>
      </c>
      <c r="Z139" s="698">
        <v>6.81</v>
      </c>
      <c r="AA139" s="687">
        <v>173.1</v>
      </c>
      <c r="AB139" s="687">
        <v>4256</v>
      </c>
      <c r="AC139" s="717">
        <v>53400</v>
      </c>
      <c r="AD139" s="689">
        <v>1</v>
      </c>
      <c r="AE139" s="689">
        <v>1</v>
      </c>
      <c r="AF139" s="690">
        <v>1</v>
      </c>
      <c r="AG139" s="689">
        <v>1</v>
      </c>
      <c r="AH139" s="689">
        <v>1</v>
      </c>
      <c r="AI139" s="691">
        <v>2</v>
      </c>
      <c r="AJ139" s="689" t="s">
        <v>1155</v>
      </c>
    </row>
    <row r="140" spans="1:36" s="628" customFormat="1" ht="13.5" customHeight="1">
      <c r="A140" s="695"/>
      <c r="B140" s="715"/>
      <c r="C140" s="689"/>
      <c r="D140" s="689"/>
      <c r="E140" s="697"/>
      <c r="F140" s="697"/>
      <c r="G140" s="690"/>
      <c r="H140" s="698"/>
      <c r="I140" s="689"/>
      <c r="J140" s="689"/>
      <c r="K140" s="689"/>
      <c r="L140" s="699"/>
      <c r="M140" s="700"/>
      <c r="N140" s="701"/>
      <c r="O140" s="701"/>
      <c r="P140" s="695"/>
      <c r="Q140" s="686"/>
      <c r="R140" s="697"/>
      <c r="S140" s="699"/>
      <c r="T140" s="699"/>
      <c r="U140" s="702"/>
      <c r="V140" s="698"/>
      <c r="W140" s="699"/>
      <c r="X140" s="697"/>
      <c r="Y140" s="697"/>
      <c r="Z140" s="698"/>
      <c r="AA140" s="687"/>
      <c r="AB140" s="687"/>
      <c r="AC140" s="717"/>
      <c r="AD140" s="689"/>
      <c r="AE140" s="689"/>
      <c r="AF140" s="690"/>
      <c r="AG140" s="689"/>
      <c r="AH140" s="689"/>
      <c r="AI140" s="691"/>
      <c r="AJ140" s="689"/>
    </row>
    <row r="141" spans="1:36" s="721" customFormat="1" ht="13.5" customHeight="1">
      <c r="A141" s="706" t="s">
        <v>1224</v>
      </c>
      <c r="B141" s="711">
        <v>222</v>
      </c>
      <c r="C141" s="673">
        <v>970</v>
      </c>
      <c r="D141" s="673">
        <v>300</v>
      </c>
      <c r="E141" s="708">
        <v>16</v>
      </c>
      <c r="F141" s="708">
        <v>21</v>
      </c>
      <c r="G141" s="674">
        <v>30</v>
      </c>
      <c r="H141" s="709">
        <v>282.2</v>
      </c>
      <c r="I141" s="673">
        <v>928</v>
      </c>
      <c r="J141" s="673">
        <v>868</v>
      </c>
      <c r="K141" s="673" t="s">
        <v>1141</v>
      </c>
      <c r="L141" s="710">
        <v>132</v>
      </c>
      <c r="M141" s="711">
        <v>198</v>
      </c>
      <c r="N141" s="712">
        <v>3.056</v>
      </c>
      <c r="O141" s="712">
        <v>13.8</v>
      </c>
      <c r="P141" s="706" t="s">
        <v>1224</v>
      </c>
      <c r="Q141" s="707">
        <v>222</v>
      </c>
      <c r="R141" s="708">
        <v>406500</v>
      </c>
      <c r="S141" s="710">
        <v>8380</v>
      </c>
      <c r="T141" s="710">
        <v>9777</v>
      </c>
      <c r="U141" s="713">
        <v>37.950000000000003</v>
      </c>
      <c r="V141" s="709">
        <v>172.2</v>
      </c>
      <c r="W141" s="710">
        <v>9501</v>
      </c>
      <c r="X141" s="708">
        <v>633.4</v>
      </c>
      <c r="Y141" s="708">
        <v>1016</v>
      </c>
      <c r="Z141" s="709">
        <v>5.8</v>
      </c>
      <c r="AA141" s="671">
        <v>93.15</v>
      </c>
      <c r="AB141" s="671">
        <v>403.4</v>
      </c>
      <c r="AC141" s="718">
        <v>21280</v>
      </c>
      <c r="AD141" s="673">
        <v>1</v>
      </c>
      <c r="AE141" s="673">
        <v>1</v>
      </c>
      <c r="AF141" s="674" t="s">
        <v>600</v>
      </c>
      <c r="AG141" s="673">
        <v>4</v>
      </c>
      <c r="AH141" s="673">
        <v>4</v>
      </c>
      <c r="AI141" s="675" t="s">
        <v>600</v>
      </c>
      <c r="AJ141" s="673"/>
    </row>
    <row r="142" spans="1:36" s="719" customFormat="1" ht="13.5" customHeight="1">
      <c r="A142" s="695" t="s">
        <v>1225</v>
      </c>
      <c r="B142" s="715">
        <v>272</v>
      </c>
      <c r="C142" s="689">
        <v>990</v>
      </c>
      <c r="D142" s="689">
        <v>300</v>
      </c>
      <c r="E142" s="697">
        <v>16.5</v>
      </c>
      <c r="F142" s="697">
        <v>31</v>
      </c>
      <c r="G142" s="690">
        <v>30</v>
      </c>
      <c r="H142" s="698">
        <v>346.8</v>
      </c>
      <c r="I142" s="689">
        <v>928</v>
      </c>
      <c r="J142" s="689">
        <v>868</v>
      </c>
      <c r="K142" s="689" t="s">
        <v>1141</v>
      </c>
      <c r="L142" s="699">
        <v>132</v>
      </c>
      <c r="M142" s="700">
        <v>198</v>
      </c>
      <c r="N142" s="701">
        <v>3.0950000000000002</v>
      </c>
      <c r="O142" s="701">
        <v>11.37</v>
      </c>
      <c r="P142" s="695" t="s">
        <v>1225</v>
      </c>
      <c r="Q142" s="722">
        <v>272</v>
      </c>
      <c r="R142" s="697">
        <v>553800</v>
      </c>
      <c r="S142" s="699">
        <v>11190</v>
      </c>
      <c r="T142" s="699">
        <v>12820</v>
      </c>
      <c r="U142" s="702">
        <v>39.96</v>
      </c>
      <c r="V142" s="698">
        <v>184.6</v>
      </c>
      <c r="W142" s="699">
        <v>14000</v>
      </c>
      <c r="X142" s="697">
        <v>933.6</v>
      </c>
      <c r="Y142" s="697">
        <v>1470</v>
      </c>
      <c r="Z142" s="698">
        <v>6.35</v>
      </c>
      <c r="AA142" s="702">
        <v>113.6</v>
      </c>
      <c r="AB142" s="702">
        <v>822.4</v>
      </c>
      <c r="AC142" s="691">
        <v>32070</v>
      </c>
      <c r="AD142" s="689">
        <v>1</v>
      </c>
      <c r="AE142" s="689">
        <v>1</v>
      </c>
      <c r="AF142" s="690">
        <v>2</v>
      </c>
      <c r="AG142" s="689">
        <v>4</v>
      </c>
      <c r="AH142" s="689">
        <v>4</v>
      </c>
      <c r="AI142" s="691">
        <v>4</v>
      </c>
      <c r="AJ142" s="689" t="s">
        <v>1155</v>
      </c>
    </row>
    <row r="143" spans="1:36" s="720" customFormat="1" ht="13.5" customHeight="1">
      <c r="A143" s="706" t="s">
        <v>1226</v>
      </c>
      <c r="B143" s="711">
        <v>314</v>
      </c>
      <c r="C143" s="673">
        <v>1000</v>
      </c>
      <c r="D143" s="673">
        <v>300</v>
      </c>
      <c r="E143" s="708">
        <v>19</v>
      </c>
      <c r="F143" s="708">
        <v>36</v>
      </c>
      <c r="G143" s="674">
        <v>30</v>
      </c>
      <c r="H143" s="709">
        <v>400</v>
      </c>
      <c r="I143" s="673">
        <v>928</v>
      </c>
      <c r="J143" s="673">
        <v>868</v>
      </c>
      <c r="K143" s="673" t="s">
        <v>1141</v>
      </c>
      <c r="L143" s="710">
        <v>134</v>
      </c>
      <c r="M143" s="711">
        <v>198</v>
      </c>
      <c r="N143" s="712">
        <v>3.11</v>
      </c>
      <c r="O143" s="712">
        <v>9.9049999999999994</v>
      </c>
      <c r="P143" s="706" t="s">
        <v>1226</v>
      </c>
      <c r="Q143" s="707">
        <v>314</v>
      </c>
      <c r="R143" s="708">
        <v>644700</v>
      </c>
      <c r="S143" s="710">
        <v>12890</v>
      </c>
      <c r="T143" s="710">
        <v>14860</v>
      </c>
      <c r="U143" s="713">
        <v>40.15</v>
      </c>
      <c r="V143" s="709">
        <v>212.5</v>
      </c>
      <c r="W143" s="710">
        <v>16280</v>
      </c>
      <c r="X143" s="708">
        <v>1085</v>
      </c>
      <c r="Y143" s="708">
        <v>1716</v>
      </c>
      <c r="Z143" s="709">
        <v>6.38</v>
      </c>
      <c r="AA143" s="713">
        <v>126.1</v>
      </c>
      <c r="AB143" s="713">
        <v>1254</v>
      </c>
      <c r="AC143" s="675">
        <v>37640</v>
      </c>
      <c r="AD143" s="673">
        <v>1</v>
      </c>
      <c r="AE143" s="673">
        <v>1</v>
      </c>
      <c r="AF143" s="674">
        <v>1</v>
      </c>
      <c r="AG143" s="673">
        <v>4</v>
      </c>
      <c r="AH143" s="673">
        <v>4</v>
      </c>
      <c r="AI143" s="675">
        <v>4</v>
      </c>
      <c r="AJ143" s="673" t="s">
        <v>1155</v>
      </c>
    </row>
    <row r="144" spans="1:36" s="723" customFormat="1" ht="13.5" customHeight="1">
      <c r="A144" s="695" t="s">
        <v>1227</v>
      </c>
      <c r="B144" s="715">
        <v>349</v>
      </c>
      <c r="C144" s="689">
        <v>1008</v>
      </c>
      <c r="D144" s="689">
        <v>302</v>
      </c>
      <c r="E144" s="697">
        <v>21</v>
      </c>
      <c r="F144" s="697">
        <v>40</v>
      </c>
      <c r="G144" s="690">
        <v>30</v>
      </c>
      <c r="H144" s="698">
        <v>444.2</v>
      </c>
      <c r="I144" s="689">
        <v>928</v>
      </c>
      <c r="J144" s="689">
        <v>868</v>
      </c>
      <c r="K144" s="689" t="s">
        <v>1141</v>
      </c>
      <c r="L144" s="699">
        <v>138</v>
      </c>
      <c r="M144" s="700">
        <v>198</v>
      </c>
      <c r="N144" s="701">
        <v>3.13</v>
      </c>
      <c r="O144" s="701">
        <v>8.9779999999999998</v>
      </c>
      <c r="P144" s="695" t="s">
        <v>1227</v>
      </c>
      <c r="Q144" s="722">
        <v>349</v>
      </c>
      <c r="R144" s="697">
        <v>722300</v>
      </c>
      <c r="S144" s="699">
        <v>14330</v>
      </c>
      <c r="T144" s="699">
        <v>16570</v>
      </c>
      <c r="U144" s="702">
        <v>40.32</v>
      </c>
      <c r="V144" s="698">
        <v>235</v>
      </c>
      <c r="W144" s="699">
        <v>18460</v>
      </c>
      <c r="X144" s="697">
        <v>1222</v>
      </c>
      <c r="Y144" s="697">
        <v>1940</v>
      </c>
      <c r="Z144" s="698">
        <v>6.45</v>
      </c>
      <c r="AA144" s="702">
        <v>136.1</v>
      </c>
      <c r="AB144" s="702">
        <v>1701</v>
      </c>
      <c r="AC144" s="691">
        <v>43020</v>
      </c>
      <c r="AD144" s="689">
        <v>1</v>
      </c>
      <c r="AE144" s="689">
        <v>1</v>
      </c>
      <c r="AF144" s="690">
        <v>1</v>
      </c>
      <c r="AG144" s="689">
        <v>3</v>
      </c>
      <c r="AH144" s="689">
        <v>4</v>
      </c>
      <c r="AI144" s="691">
        <v>4</v>
      </c>
      <c r="AJ144" s="689" t="s">
        <v>1155</v>
      </c>
    </row>
    <row r="145" spans="1:36" s="721" customFormat="1" ht="13.5" customHeight="1">
      <c r="A145" s="706" t="s">
        <v>1228</v>
      </c>
      <c r="B145" s="711">
        <v>393</v>
      </c>
      <c r="C145" s="673">
        <v>1016</v>
      </c>
      <c r="D145" s="673">
        <v>303</v>
      </c>
      <c r="E145" s="708">
        <v>24.4</v>
      </c>
      <c r="F145" s="708">
        <v>43.9</v>
      </c>
      <c r="G145" s="674">
        <v>30</v>
      </c>
      <c r="H145" s="709">
        <v>500.2</v>
      </c>
      <c r="I145" s="673">
        <v>928</v>
      </c>
      <c r="J145" s="673">
        <v>868</v>
      </c>
      <c r="K145" s="673" t="s">
        <v>1141</v>
      </c>
      <c r="L145" s="710">
        <v>144</v>
      </c>
      <c r="M145" s="711">
        <v>196</v>
      </c>
      <c r="N145" s="712">
        <v>3.1440000000000001</v>
      </c>
      <c r="O145" s="712">
        <v>8.0060000000000002</v>
      </c>
      <c r="P145" s="706" t="s">
        <v>1228</v>
      </c>
      <c r="Q145" s="707">
        <v>393</v>
      </c>
      <c r="R145" s="708">
        <v>807700</v>
      </c>
      <c r="S145" s="710">
        <v>15900</v>
      </c>
      <c r="T145" s="710">
        <v>18540</v>
      </c>
      <c r="U145" s="713">
        <v>40.18</v>
      </c>
      <c r="V145" s="709">
        <v>271.3</v>
      </c>
      <c r="W145" s="710">
        <v>20500</v>
      </c>
      <c r="X145" s="708">
        <v>1353</v>
      </c>
      <c r="Y145" s="708">
        <v>2168</v>
      </c>
      <c r="Z145" s="709">
        <v>6.4</v>
      </c>
      <c r="AA145" s="713">
        <v>147.30000000000001</v>
      </c>
      <c r="AB145" s="713">
        <v>2332</v>
      </c>
      <c r="AC145" s="675">
        <v>48080</v>
      </c>
      <c r="AD145" s="673">
        <v>1</v>
      </c>
      <c r="AE145" s="673">
        <v>1</v>
      </c>
      <c r="AF145" s="674">
        <v>1</v>
      </c>
      <c r="AG145" s="673">
        <v>2</v>
      </c>
      <c r="AH145" s="673">
        <v>4</v>
      </c>
      <c r="AI145" s="675">
        <v>4</v>
      </c>
      <c r="AJ145" s="673" t="s">
        <v>1155</v>
      </c>
    </row>
    <row r="146" spans="1:36" s="723" customFormat="1" ht="13.5" customHeight="1">
      <c r="A146" s="695" t="s">
        <v>1229</v>
      </c>
      <c r="B146" s="715">
        <v>409</v>
      </c>
      <c r="C146" s="689">
        <v>1020</v>
      </c>
      <c r="D146" s="689">
        <v>306</v>
      </c>
      <c r="E146" s="697">
        <v>25</v>
      </c>
      <c r="F146" s="697">
        <v>46</v>
      </c>
      <c r="G146" s="690">
        <v>30</v>
      </c>
      <c r="H146" s="698">
        <v>521.20000000000005</v>
      </c>
      <c r="I146" s="689">
        <v>928</v>
      </c>
      <c r="J146" s="689">
        <v>868</v>
      </c>
      <c r="K146" s="689" t="s">
        <v>1141</v>
      </c>
      <c r="L146" s="699">
        <v>144</v>
      </c>
      <c r="M146" s="700">
        <v>198</v>
      </c>
      <c r="N146" s="701">
        <v>3.1619999999999999</v>
      </c>
      <c r="O146" s="701">
        <v>7.7290000000000001</v>
      </c>
      <c r="P146" s="695" t="s">
        <v>1229</v>
      </c>
      <c r="Q146" s="722">
        <v>409</v>
      </c>
      <c r="R146" s="697">
        <v>850800</v>
      </c>
      <c r="S146" s="699">
        <v>16680</v>
      </c>
      <c r="T146" s="699">
        <v>19450</v>
      </c>
      <c r="U146" s="702">
        <v>40.4</v>
      </c>
      <c r="V146" s="698">
        <v>278.8</v>
      </c>
      <c r="W146" s="699">
        <v>22120</v>
      </c>
      <c r="X146" s="697">
        <v>1446</v>
      </c>
      <c r="Y146" s="697">
        <v>2313</v>
      </c>
      <c r="Z146" s="698">
        <v>6.51</v>
      </c>
      <c r="AA146" s="702">
        <v>152.1</v>
      </c>
      <c r="AB146" s="702">
        <v>2642</v>
      </c>
      <c r="AC146" s="691">
        <v>52100</v>
      </c>
      <c r="AD146" s="689">
        <v>1</v>
      </c>
      <c r="AE146" s="689">
        <v>1</v>
      </c>
      <c r="AF146" s="690">
        <v>1</v>
      </c>
      <c r="AG146" s="689">
        <v>2</v>
      </c>
      <c r="AH146" s="689">
        <v>4</v>
      </c>
      <c r="AI146" s="691">
        <v>4</v>
      </c>
      <c r="AJ146" s="689" t="s">
        <v>1155</v>
      </c>
    </row>
    <row r="147" spans="1:36" s="721" customFormat="1" ht="13.5" customHeight="1">
      <c r="A147" s="706" t="s">
        <v>1230</v>
      </c>
      <c r="B147" s="711">
        <v>488</v>
      </c>
      <c r="C147" s="673">
        <v>1036</v>
      </c>
      <c r="D147" s="673">
        <v>311</v>
      </c>
      <c r="E147" s="708">
        <v>30</v>
      </c>
      <c r="F147" s="708">
        <v>54</v>
      </c>
      <c r="G147" s="674">
        <v>30</v>
      </c>
      <c r="H147" s="709">
        <v>622</v>
      </c>
      <c r="I147" s="673">
        <v>928</v>
      </c>
      <c r="J147" s="673">
        <v>868</v>
      </c>
      <c r="K147" s="673" t="s">
        <v>1141</v>
      </c>
      <c r="L147" s="710">
        <v>148</v>
      </c>
      <c r="M147" s="711">
        <v>204</v>
      </c>
      <c r="N147" s="712">
        <v>3.2040000000000002</v>
      </c>
      <c r="O147" s="712">
        <v>6.5629999999999997</v>
      </c>
      <c r="P147" s="706" t="s">
        <v>1230</v>
      </c>
      <c r="Q147" s="707">
        <v>488</v>
      </c>
      <c r="R147" s="708">
        <v>1027000</v>
      </c>
      <c r="S147" s="710">
        <v>19820</v>
      </c>
      <c r="T147" s="710">
        <v>23300</v>
      </c>
      <c r="U147" s="713">
        <v>40.619999999999997</v>
      </c>
      <c r="V147" s="709">
        <v>334.7</v>
      </c>
      <c r="W147" s="710">
        <v>27320</v>
      </c>
      <c r="X147" s="708">
        <v>1757</v>
      </c>
      <c r="Y147" s="708">
        <v>2837</v>
      </c>
      <c r="Z147" s="709">
        <v>6.63</v>
      </c>
      <c r="AA147" s="713">
        <v>173.1</v>
      </c>
      <c r="AB147" s="713">
        <v>4334</v>
      </c>
      <c r="AC147" s="675">
        <v>65270</v>
      </c>
      <c r="AD147" s="673">
        <v>1</v>
      </c>
      <c r="AE147" s="673">
        <v>1</v>
      </c>
      <c r="AF147" s="674">
        <v>1</v>
      </c>
      <c r="AG147" s="673">
        <v>1</v>
      </c>
      <c r="AH147" s="673">
        <v>2</v>
      </c>
      <c r="AI147" s="675">
        <v>3</v>
      </c>
      <c r="AJ147" s="673" t="s">
        <v>1155</v>
      </c>
    </row>
    <row r="148" spans="1:36" s="723" customFormat="1" ht="13.5" customHeight="1">
      <c r="A148" s="695" t="s">
        <v>1231</v>
      </c>
      <c r="B148" s="715">
        <v>579</v>
      </c>
      <c r="C148" s="689">
        <v>1056</v>
      </c>
      <c r="D148" s="689">
        <v>316</v>
      </c>
      <c r="E148" s="697">
        <v>35</v>
      </c>
      <c r="F148" s="697">
        <v>64</v>
      </c>
      <c r="G148" s="690">
        <v>30</v>
      </c>
      <c r="H148" s="698">
        <v>737</v>
      </c>
      <c r="I148" s="689">
        <v>928</v>
      </c>
      <c r="J148" s="689">
        <v>868</v>
      </c>
      <c r="K148" s="689" t="s">
        <v>1141</v>
      </c>
      <c r="L148" s="699">
        <v>154</v>
      </c>
      <c r="M148" s="700">
        <v>208</v>
      </c>
      <c r="N148" s="701">
        <v>3.254</v>
      </c>
      <c r="O148" s="701">
        <v>5.625</v>
      </c>
      <c r="P148" s="695" t="s">
        <v>1231</v>
      </c>
      <c r="Q148" s="722">
        <v>579</v>
      </c>
      <c r="R148" s="697">
        <v>1246000</v>
      </c>
      <c r="S148" s="699">
        <v>23590</v>
      </c>
      <c r="T148" s="699">
        <v>27950</v>
      </c>
      <c r="U148" s="702">
        <v>41.11</v>
      </c>
      <c r="V148" s="698">
        <v>393.3</v>
      </c>
      <c r="W148" s="699">
        <v>34040</v>
      </c>
      <c r="X148" s="697">
        <v>2154</v>
      </c>
      <c r="Y148" s="697">
        <v>3498</v>
      </c>
      <c r="Z148" s="698">
        <v>6.8</v>
      </c>
      <c r="AA148" s="702">
        <v>198.1</v>
      </c>
      <c r="AB148" s="702">
        <v>7102</v>
      </c>
      <c r="AC148" s="691">
        <v>82800</v>
      </c>
      <c r="AD148" s="689">
        <v>1</v>
      </c>
      <c r="AE148" s="689">
        <v>1</v>
      </c>
      <c r="AF148" s="690">
        <v>1</v>
      </c>
      <c r="AG148" s="689">
        <v>1</v>
      </c>
      <c r="AH148" s="689">
        <v>1</v>
      </c>
      <c r="AI148" s="691">
        <v>2</v>
      </c>
      <c r="AJ148" s="689" t="s">
        <v>1155</v>
      </c>
    </row>
    <row r="149" spans="1:36" s="723" customFormat="1" ht="13.5" customHeight="1">
      <c r="A149" s="695"/>
      <c r="B149" s="715"/>
      <c r="C149" s="689"/>
      <c r="D149" s="689"/>
      <c r="E149" s="697"/>
      <c r="F149" s="697"/>
      <c r="G149" s="690"/>
      <c r="H149" s="698"/>
      <c r="I149" s="689"/>
      <c r="J149" s="689"/>
      <c r="K149" s="689"/>
      <c r="L149" s="699"/>
      <c r="M149" s="700"/>
      <c r="N149" s="701"/>
      <c r="O149" s="701"/>
      <c r="P149" s="695"/>
      <c r="Q149" s="722"/>
      <c r="R149" s="697"/>
      <c r="S149" s="699"/>
      <c r="T149" s="699"/>
      <c r="U149" s="702"/>
      <c r="V149" s="698"/>
      <c r="W149" s="699"/>
      <c r="X149" s="697"/>
      <c r="Y149" s="697"/>
      <c r="Z149" s="698"/>
      <c r="AA149" s="702"/>
      <c r="AB149" s="702"/>
      <c r="AC149" s="691"/>
      <c r="AD149" s="689"/>
      <c r="AE149" s="689"/>
      <c r="AF149" s="690"/>
      <c r="AG149" s="689"/>
      <c r="AH149" s="689"/>
      <c r="AI149" s="691"/>
      <c r="AJ149" s="689"/>
    </row>
    <row r="150" spans="1:36" s="723" customFormat="1" ht="13.5" customHeight="1">
      <c r="A150" s="695"/>
      <c r="B150" s="715"/>
      <c r="C150" s="689"/>
      <c r="D150" s="689"/>
      <c r="E150" s="697"/>
      <c r="F150" s="697"/>
      <c r="G150" s="690"/>
      <c r="H150" s="698"/>
      <c r="I150" s="689"/>
      <c r="J150" s="689"/>
      <c r="K150" s="689"/>
      <c r="L150" s="699"/>
      <c r="M150" s="700"/>
      <c r="N150" s="701"/>
      <c r="O150" s="701"/>
      <c r="P150" s="695"/>
      <c r="Q150" s="722"/>
      <c r="R150" s="697"/>
      <c r="S150" s="699"/>
      <c r="T150" s="699"/>
      <c r="U150" s="702"/>
      <c r="V150" s="698"/>
      <c r="W150" s="699"/>
      <c r="X150" s="697"/>
      <c r="Y150" s="697"/>
      <c r="Z150" s="698"/>
      <c r="AA150" s="702"/>
      <c r="AB150" s="702"/>
      <c r="AC150" s="691"/>
      <c r="AD150" s="689"/>
      <c r="AE150" s="689"/>
      <c r="AF150" s="690"/>
      <c r="AG150" s="689"/>
      <c r="AH150" s="689"/>
      <c r="AI150" s="691"/>
      <c r="AJ150" s="689"/>
    </row>
    <row r="151" spans="1:36" s="723" customFormat="1" ht="13.5" customHeight="1">
      <c r="A151" s="695"/>
      <c r="B151" s="715"/>
      <c r="C151" s="689"/>
      <c r="D151" s="689"/>
      <c r="E151" s="697"/>
      <c r="F151" s="697"/>
      <c r="G151" s="690"/>
      <c r="H151" s="698"/>
      <c r="I151" s="689"/>
      <c r="J151" s="689"/>
      <c r="K151" s="689"/>
      <c r="L151" s="699"/>
      <c r="M151" s="700"/>
      <c r="N151" s="701"/>
      <c r="O151" s="701"/>
      <c r="P151" s="695"/>
      <c r="Q151" s="722"/>
      <c r="R151" s="697"/>
      <c r="S151" s="699"/>
      <c r="T151" s="699"/>
      <c r="U151" s="702"/>
      <c r="V151" s="698"/>
      <c r="W151" s="699"/>
      <c r="X151" s="697"/>
      <c r="Y151" s="697"/>
      <c r="Z151" s="698"/>
      <c r="AA151" s="702"/>
      <c r="AB151" s="702"/>
      <c r="AC151" s="691"/>
      <c r="AD151" s="689"/>
      <c r="AE151" s="689"/>
      <c r="AF151" s="690"/>
      <c r="AG151" s="689"/>
      <c r="AH151" s="689"/>
      <c r="AI151" s="691"/>
      <c r="AJ151" s="689"/>
    </row>
    <row r="152" spans="1:36" s="721" customFormat="1" ht="13.5" customHeight="1">
      <c r="A152" s="706" t="s">
        <v>1232</v>
      </c>
      <c r="B152" s="711">
        <v>342</v>
      </c>
      <c r="C152" s="673">
        <v>912</v>
      </c>
      <c r="D152" s="673">
        <v>418</v>
      </c>
      <c r="E152" s="708">
        <v>19.3</v>
      </c>
      <c r="F152" s="708">
        <v>32</v>
      </c>
      <c r="G152" s="674">
        <v>24</v>
      </c>
      <c r="H152" s="709">
        <v>436.1</v>
      </c>
      <c r="I152" s="673">
        <v>848</v>
      </c>
      <c r="J152" s="673">
        <v>800</v>
      </c>
      <c r="K152" s="673" t="s">
        <v>1141</v>
      </c>
      <c r="L152" s="710">
        <v>126</v>
      </c>
      <c r="M152" s="711">
        <v>312</v>
      </c>
      <c r="N152" s="712">
        <v>3.42</v>
      </c>
      <c r="O152" s="712">
        <v>9.98</v>
      </c>
      <c r="P152" s="706" t="s">
        <v>1232</v>
      </c>
      <c r="Q152" s="707">
        <v>342</v>
      </c>
      <c r="R152" s="708">
        <v>624900</v>
      </c>
      <c r="S152" s="710">
        <v>13700</v>
      </c>
      <c r="T152" s="710">
        <v>15450</v>
      </c>
      <c r="U152" s="713">
        <v>37.85</v>
      </c>
      <c r="V152" s="709">
        <v>190.1</v>
      </c>
      <c r="W152" s="710">
        <v>39010</v>
      </c>
      <c r="X152" s="708">
        <v>1867</v>
      </c>
      <c r="Y152" s="708">
        <v>2882</v>
      </c>
      <c r="Z152" s="709">
        <v>9.4600000000000009</v>
      </c>
      <c r="AA152" s="713">
        <v>111.4</v>
      </c>
      <c r="AB152" s="713">
        <v>1193</v>
      </c>
      <c r="AC152" s="675">
        <v>75410</v>
      </c>
      <c r="AD152" s="673">
        <v>1</v>
      </c>
      <c r="AE152" s="673">
        <v>1</v>
      </c>
      <c r="AF152" s="674">
        <v>1</v>
      </c>
      <c r="AG152" s="673">
        <v>3</v>
      </c>
      <c r="AH152" s="673">
        <v>4</v>
      </c>
      <c r="AI152" s="675">
        <v>4</v>
      </c>
      <c r="AJ152" s="673" t="s">
        <v>1155</v>
      </c>
    </row>
    <row r="153" spans="1:36" s="723" customFormat="1" ht="13.5" customHeight="1">
      <c r="A153" s="695" t="s">
        <v>1233</v>
      </c>
      <c r="B153" s="715">
        <v>365</v>
      </c>
      <c r="C153" s="689">
        <v>916</v>
      </c>
      <c r="D153" s="689">
        <v>419</v>
      </c>
      <c r="E153" s="697">
        <v>20.3</v>
      </c>
      <c r="F153" s="697">
        <v>34.299999999999997</v>
      </c>
      <c r="G153" s="690">
        <v>24</v>
      </c>
      <c r="H153" s="698">
        <v>464.4</v>
      </c>
      <c r="I153" s="689">
        <v>847.4</v>
      </c>
      <c r="J153" s="689">
        <v>799.4</v>
      </c>
      <c r="K153" s="689" t="s">
        <v>1141</v>
      </c>
      <c r="L153" s="699">
        <v>128</v>
      </c>
      <c r="M153" s="700">
        <v>314</v>
      </c>
      <c r="N153" s="701">
        <v>3.43</v>
      </c>
      <c r="O153" s="701">
        <v>9.4</v>
      </c>
      <c r="P153" s="695" t="s">
        <v>1233</v>
      </c>
      <c r="Q153" s="722">
        <v>365</v>
      </c>
      <c r="R153" s="697">
        <v>670500</v>
      </c>
      <c r="S153" s="699">
        <v>14640</v>
      </c>
      <c r="T153" s="699">
        <v>16520</v>
      </c>
      <c r="U153" s="702">
        <v>38</v>
      </c>
      <c r="V153" s="698">
        <v>200.4</v>
      </c>
      <c r="W153" s="699">
        <v>42120</v>
      </c>
      <c r="X153" s="697">
        <v>2011</v>
      </c>
      <c r="Y153" s="697">
        <v>3106</v>
      </c>
      <c r="Z153" s="698">
        <v>9.52</v>
      </c>
      <c r="AA153" s="702">
        <v>117</v>
      </c>
      <c r="AB153" s="702">
        <v>1446</v>
      </c>
      <c r="AC153" s="691">
        <v>81730</v>
      </c>
      <c r="AD153" s="689">
        <v>1</v>
      </c>
      <c r="AE153" s="689">
        <v>1</v>
      </c>
      <c r="AF153" s="690">
        <v>1</v>
      </c>
      <c r="AG153" s="689">
        <v>3</v>
      </c>
      <c r="AH153" s="689">
        <v>4</v>
      </c>
      <c r="AI153" s="691">
        <v>4</v>
      </c>
      <c r="AJ153" s="689" t="s">
        <v>1155</v>
      </c>
    </row>
    <row r="154" spans="1:36" s="721" customFormat="1" ht="13.5" customHeight="1">
      <c r="A154" s="706" t="s">
        <v>1234</v>
      </c>
      <c r="B154" s="711">
        <v>387</v>
      </c>
      <c r="C154" s="673">
        <v>921</v>
      </c>
      <c r="D154" s="673">
        <v>420</v>
      </c>
      <c r="E154" s="708">
        <v>21.3</v>
      </c>
      <c r="F154" s="708">
        <v>36.6</v>
      </c>
      <c r="G154" s="674">
        <v>24</v>
      </c>
      <c r="H154" s="709">
        <v>493</v>
      </c>
      <c r="I154" s="673">
        <v>847.8</v>
      </c>
      <c r="J154" s="673">
        <v>799.8</v>
      </c>
      <c r="K154" s="673" t="s">
        <v>1141</v>
      </c>
      <c r="L154" s="710">
        <v>128</v>
      </c>
      <c r="M154" s="711">
        <v>314</v>
      </c>
      <c r="N154" s="712">
        <v>3.44</v>
      </c>
      <c r="O154" s="712">
        <v>8.8800000000000008</v>
      </c>
      <c r="P154" s="706" t="s">
        <v>1234</v>
      </c>
      <c r="Q154" s="707">
        <v>387</v>
      </c>
      <c r="R154" s="708">
        <v>718300</v>
      </c>
      <c r="S154" s="710">
        <v>15600</v>
      </c>
      <c r="T154" s="710">
        <v>17630</v>
      </c>
      <c r="U154" s="713">
        <v>38.17</v>
      </c>
      <c r="V154" s="709">
        <v>210.9</v>
      </c>
      <c r="W154" s="710">
        <v>45280</v>
      </c>
      <c r="X154" s="708">
        <v>2156</v>
      </c>
      <c r="Y154" s="708">
        <v>3332</v>
      </c>
      <c r="Z154" s="709">
        <v>9.58</v>
      </c>
      <c r="AA154" s="713">
        <v>122.6</v>
      </c>
      <c r="AB154" s="713">
        <v>1734</v>
      </c>
      <c r="AC154" s="675">
        <v>88370</v>
      </c>
      <c r="AD154" s="673">
        <v>1</v>
      </c>
      <c r="AE154" s="673">
        <v>1</v>
      </c>
      <c r="AF154" s="674">
        <v>1</v>
      </c>
      <c r="AG154" s="673">
        <v>2</v>
      </c>
      <c r="AH154" s="673">
        <v>4</v>
      </c>
      <c r="AI154" s="675">
        <v>4</v>
      </c>
      <c r="AJ154" s="673" t="s">
        <v>1155</v>
      </c>
    </row>
    <row r="155" spans="1:36" s="723" customFormat="1" ht="13.5" customHeight="1">
      <c r="A155" s="695" t="s">
        <v>1235</v>
      </c>
      <c r="B155" s="715">
        <v>417</v>
      </c>
      <c r="C155" s="689">
        <v>928</v>
      </c>
      <c r="D155" s="689">
        <v>422</v>
      </c>
      <c r="E155" s="697">
        <v>22.5</v>
      </c>
      <c r="F155" s="697">
        <v>39.9</v>
      </c>
      <c r="G155" s="690">
        <v>24</v>
      </c>
      <c r="H155" s="698">
        <v>532.5</v>
      </c>
      <c r="I155" s="689">
        <v>848.2</v>
      </c>
      <c r="J155" s="689">
        <v>800.2</v>
      </c>
      <c r="K155" s="689" t="s">
        <v>1141</v>
      </c>
      <c r="L155" s="699">
        <v>130</v>
      </c>
      <c r="M155" s="700">
        <v>316</v>
      </c>
      <c r="N155" s="701">
        <v>3.46</v>
      </c>
      <c r="O155" s="701">
        <v>8.27</v>
      </c>
      <c r="P155" s="695" t="s">
        <v>1235</v>
      </c>
      <c r="Q155" s="722">
        <v>417</v>
      </c>
      <c r="R155" s="697">
        <v>787600</v>
      </c>
      <c r="S155" s="699">
        <v>16970</v>
      </c>
      <c r="T155" s="699">
        <v>19210</v>
      </c>
      <c r="U155" s="702">
        <v>38.46</v>
      </c>
      <c r="V155" s="698">
        <v>223.9</v>
      </c>
      <c r="W155" s="699">
        <v>50070</v>
      </c>
      <c r="X155" s="697">
        <v>2373</v>
      </c>
      <c r="Y155" s="697">
        <v>3668</v>
      </c>
      <c r="Z155" s="698">
        <v>9.6999999999999993</v>
      </c>
      <c r="AA155" s="702">
        <v>130.4</v>
      </c>
      <c r="AB155" s="702">
        <v>2200</v>
      </c>
      <c r="AC155" s="691">
        <v>98540</v>
      </c>
      <c r="AD155" s="689">
        <v>1</v>
      </c>
      <c r="AE155" s="689">
        <v>1</v>
      </c>
      <c r="AF155" s="690">
        <v>1</v>
      </c>
      <c r="AG155" s="689">
        <v>2</v>
      </c>
      <c r="AH155" s="689">
        <v>4</v>
      </c>
      <c r="AI155" s="691">
        <v>4</v>
      </c>
      <c r="AJ155" s="689" t="s">
        <v>1155</v>
      </c>
    </row>
    <row r="156" spans="1:36" s="721" customFormat="1" ht="13.5" customHeight="1">
      <c r="A156" s="706" t="s">
        <v>1236</v>
      </c>
      <c r="B156" s="711">
        <v>446</v>
      </c>
      <c r="C156" s="673">
        <v>933</v>
      </c>
      <c r="D156" s="673">
        <v>423</v>
      </c>
      <c r="E156" s="708">
        <v>24</v>
      </c>
      <c r="F156" s="708">
        <v>42.7</v>
      </c>
      <c r="G156" s="674">
        <v>24</v>
      </c>
      <c r="H156" s="709">
        <v>569.6</v>
      </c>
      <c r="I156" s="673">
        <v>847.6</v>
      </c>
      <c r="J156" s="673">
        <v>799.6</v>
      </c>
      <c r="K156" s="673" t="s">
        <v>1141</v>
      </c>
      <c r="L156" s="710">
        <v>130</v>
      </c>
      <c r="M156" s="711">
        <v>318</v>
      </c>
      <c r="N156" s="712">
        <v>3.47</v>
      </c>
      <c r="O156" s="712">
        <v>7.76</v>
      </c>
      <c r="P156" s="706" t="s">
        <v>1236</v>
      </c>
      <c r="Q156" s="707">
        <v>446</v>
      </c>
      <c r="R156" s="708">
        <v>846800</v>
      </c>
      <c r="S156" s="710">
        <v>18150</v>
      </c>
      <c r="T156" s="710">
        <v>20600</v>
      </c>
      <c r="U156" s="713">
        <v>38.56</v>
      </c>
      <c r="V156" s="709">
        <v>239.1</v>
      </c>
      <c r="W156" s="710">
        <v>53980</v>
      </c>
      <c r="X156" s="708">
        <v>2552</v>
      </c>
      <c r="Y156" s="708">
        <v>3951</v>
      </c>
      <c r="Z156" s="709">
        <v>9.73</v>
      </c>
      <c r="AA156" s="713">
        <v>137.5</v>
      </c>
      <c r="AB156" s="713">
        <v>2685</v>
      </c>
      <c r="AC156" s="675">
        <v>106740</v>
      </c>
      <c r="AD156" s="673">
        <v>1</v>
      </c>
      <c r="AE156" s="673">
        <v>1</v>
      </c>
      <c r="AF156" s="674">
        <v>1</v>
      </c>
      <c r="AG156" s="673">
        <v>2</v>
      </c>
      <c r="AH156" s="673">
        <v>3</v>
      </c>
      <c r="AI156" s="675">
        <v>4</v>
      </c>
      <c r="AJ156" s="673" t="s">
        <v>1155</v>
      </c>
    </row>
    <row r="157" spans="1:36" s="723" customFormat="1" ht="13.5" customHeight="1">
      <c r="A157" s="695" t="s">
        <v>1237</v>
      </c>
      <c r="B157" s="715">
        <v>488</v>
      </c>
      <c r="C157" s="689">
        <v>942</v>
      </c>
      <c r="D157" s="689">
        <v>422</v>
      </c>
      <c r="E157" s="697">
        <v>25.9</v>
      </c>
      <c r="F157" s="697">
        <v>47</v>
      </c>
      <c r="G157" s="690">
        <v>24</v>
      </c>
      <c r="H157" s="698">
        <v>621.29999999999995</v>
      </c>
      <c r="I157" s="689">
        <v>848</v>
      </c>
      <c r="J157" s="689">
        <v>800</v>
      </c>
      <c r="K157" s="689" t="s">
        <v>1141</v>
      </c>
      <c r="L157" s="699">
        <v>132</v>
      </c>
      <c r="M157" s="700">
        <v>316</v>
      </c>
      <c r="N157" s="701">
        <v>3.48</v>
      </c>
      <c r="O157" s="701">
        <v>7.13</v>
      </c>
      <c r="P157" s="695" t="s">
        <v>1237</v>
      </c>
      <c r="Q157" s="722">
        <v>488</v>
      </c>
      <c r="R157" s="697">
        <v>935390</v>
      </c>
      <c r="S157" s="699">
        <v>19860</v>
      </c>
      <c r="T157" s="699">
        <v>22615</v>
      </c>
      <c r="U157" s="702">
        <v>38.799999999999997</v>
      </c>
      <c r="V157" s="698">
        <v>259.3</v>
      </c>
      <c r="W157" s="699">
        <v>59010</v>
      </c>
      <c r="X157" s="697">
        <v>2797</v>
      </c>
      <c r="Y157" s="697">
        <v>4336</v>
      </c>
      <c r="Z157" s="698">
        <v>9.75</v>
      </c>
      <c r="AA157" s="702">
        <v>148</v>
      </c>
      <c r="AB157" s="702">
        <v>3514</v>
      </c>
      <c r="AC157" s="691">
        <v>117890</v>
      </c>
      <c r="AD157" s="689">
        <v>1</v>
      </c>
      <c r="AE157" s="689">
        <v>1</v>
      </c>
      <c r="AF157" s="690">
        <v>1</v>
      </c>
      <c r="AG157" s="689">
        <v>1</v>
      </c>
      <c r="AH157" s="689">
        <v>2</v>
      </c>
      <c r="AI157" s="691">
        <v>4</v>
      </c>
      <c r="AJ157" s="689" t="s">
        <v>1155</v>
      </c>
    </row>
    <row r="158" spans="1:36" s="721" customFormat="1" ht="13.5" customHeight="1">
      <c r="A158" s="706" t="s">
        <v>1238</v>
      </c>
      <c r="B158" s="711">
        <v>534</v>
      </c>
      <c r="C158" s="673">
        <v>950</v>
      </c>
      <c r="D158" s="673">
        <v>425</v>
      </c>
      <c r="E158" s="708">
        <v>28.4</v>
      </c>
      <c r="F158" s="708">
        <v>51.1</v>
      </c>
      <c r="G158" s="674">
        <v>24</v>
      </c>
      <c r="H158" s="709">
        <v>680.1</v>
      </c>
      <c r="I158" s="673">
        <v>847.8</v>
      </c>
      <c r="J158" s="673">
        <v>799.8</v>
      </c>
      <c r="K158" s="673" t="s">
        <v>1141</v>
      </c>
      <c r="L158" s="710">
        <v>136</v>
      </c>
      <c r="M158" s="711">
        <v>320</v>
      </c>
      <c r="N158" s="712">
        <v>3.5</v>
      </c>
      <c r="O158" s="712">
        <v>6.56</v>
      </c>
      <c r="P158" s="706" t="s">
        <v>1238</v>
      </c>
      <c r="Q158" s="707">
        <v>534</v>
      </c>
      <c r="R158" s="708">
        <v>1031000</v>
      </c>
      <c r="S158" s="710">
        <v>21710</v>
      </c>
      <c r="T158" s="710">
        <v>24830</v>
      </c>
      <c r="U158" s="713">
        <v>38.94</v>
      </c>
      <c r="V158" s="709">
        <v>284.8</v>
      </c>
      <c r="W158" s="710">
        <v>65560</v>
      </c>
      <c r="X158" s="708">
        <v>3085</v>
      </c>
      <c r="Y158" s="708">
        <v>4796</v>
      </c>
      <c r="Z158" s="709">
        <v>9.82</v>
      </c>
      <c r="AA158" s="713">
        <v>158.69999999999999</v>
      </c>
      <c r="AB158" s="713">
        <v>4542</v>
      </c>
      <c r="AC158" s="675">
        <v>132070</v>
      </c>
      <c r="AD158" s="673">
        <v>1</v>
      </c>
      <c r="AE158" s="673">
        <v>1</v>
      </c>
      <c r="AF158" s="674">
        <v>1</v>
      </c>
      <c r="AG158" s="673">
        <v>1</v>
      </c>
      <c r="AH158" s="673">
        <v>2</v>
      </c>
      <c r="AI158" s="675">
        <v>3</v>
      </c>
      <c r="AJ158" s="673" t="s">
        <v>1155</v>
      </c>
    </row>
    <row r="159" spans="1:36" s="723" customFormat="1" ht="13.5" customHeight="1">
      <c r="A159" s="695" t="s">
        <v>1239</v>
      </c>
      <c r="B159" s="715">
        <v>585</v>
      </c>
      <c r="C159" s="689">
        <v>960</v>
      </c>
      <c r="D159" s="689">
        <v>427</v>
      </c>
      <c r="E159" s="697">
        <v>31</v>
      </c>
      <c r="F159" s="697">
        <v>55.9</v>
      </c>
      <c r="G159" s="690">
        <v>24</v>
      </c>
      <c r="H159" s="698">
        <v>745.3</v>
      </c>
      <c r="I159" s="689">
        <v>848.2</v>
      </c>
      <c r="J159" s="689">
        <v>800.2</v>
      </c>
      <c r="K159" s="689" t="s">
        <v>1141</v>
      </c>
      <c r="L159" s="699">
        <v>138</v>
      </c>
      <c r="M159" s="700">
        <v>322</v>
      </c>
      <c r="N159" s="701">
        <v>3.52</v>
      </c>
      <c r="O159" s="701">
        <v>6.02</v>
      </c>
      <c r="P159" s="695" t="s">
        <v>1239</v>
      </c>
      <c r="Q159" s="722">
        <v>585</v>
      </c>
      <c r="R159" s="697">
        <v>1143090</v>
      </c>
      <c r="S159" s="699">
        <v>23814</v>
      </c>
      <c r="T159" s="699">
        <v>27363</v>
      </c>
      <c r="U159" s="702">
        <v>39.159999999999997</v>
      </c>
      <c r="V159" s="698">
        <v>312</v>
      </c>
      <c r="W159" s="699">
        <v>72770</v>
      </c>
      <c r="X159" s="697">
        <v>3408</v>
      </c>
      <c r="Y159" s="697">
        <v>5310</v>
      </c>
      <c r="Z159" s="698">
        <v>9.8800000000000008</v>
      </c>
      <c r="AA159" s="702">
        <v>170.9</v>
      </c>
      <c r="AB159" s="702">
        <v>5932</v>
      </c>
      <c r="AC159" s="691">
        <v>148220</v>
      </c>
      <c r="AD159" s="689">
        <v>1</v>
      </c>
      <c r="AE159" s="689">
        <v>1</v>
      </c>
      <c r="AF159" s="690">
        <v>1</v>
      </c>
      <c r="AG159" s="689">
        <v>1</v>
      </c>
      <c r="AH159" s="689">
        <v>1</v>
      </c>
      <c r="AI159" s="691">
        <v>2</v>
      </c>
      <c r="AJ159" s="689" t="s">
        <v>1155</v>
      </c>
    </row>
    <row r="160" spans="1:36" s="721" customFormat="1" ht="13.5" customHeight="1">
      <c r="A160" s="706" t="s">
        <v>1240</v>
      </c>
      <c r="B160" s="711">
        <v>653</v>
      </c>
      <c r="C160" s="673">
        <v>972</v>
      </c>
      <c r="D160" s="673">
        <v>431</v>
      </c>
      <c r="E160" s="708">
        <v>34.5</v>
      </c>
      <c r="F160" s="708">
        <v>62</v>
      </c>
      <c r="G160" s="674">
        <v>24</v>
      </c>
      <c r="H160" s="709">
        <v>831.9</v>
      </c>
      <c r="I160" s="673">
        <v>848</v>
      </c>
      <c r="J160" s="673">
        <v>800</v>
      </c>
      <c r="K160" s="673" t="s">
        <v>1141</v>
      </c>
      <c r="L160" s="710">
        <v>144</v>
      </c>
      <c r="M160" s="711">
        <v>320</v>
      </c>
      <c r="N160" s="712">
        <v>3.56</v>
      </c>
      <c r="O160" s="712">
        <v>5.45</v>
      </c>
      <c r="P160" s="706" t="s">
        <v>1240</v>
      </c>
      <c r="Q160" s="707">
        <v>653</v>
      </c>
      <c r="R160" s="708">
        <v>1292000</v>
      </c>
      <c r="S160" s="710">
        <v>26590</v>
      </c>
      <c r="T160" s="710">
        <v>30730</v>
      </c>
      <c r="U160" s="713">
        <v>39.409999999999997</v>
      </c>
      <c r="V160" s="709">
        <v>348.7</v>
      </c>
      <c r="W160" s="710">
        <v>83050</v>
      </c>
      <c r="X160" s="708">
        <v>3854</v>
      </c>
      <c r="Y160" s="708">
        <v>6022</v>
      </c>
      <c r="Z160" s="709">
        <v>9.99</v>
      </c>
      <c r="AA160" s="713">
        <v>186.6</v>
      </c>
      <c r="AB160" s="713">
        <v>8124</v>
      </c>
      <c r="AC160" s="675">
        <v>171280</v>
      </c>
      <c r="AD160" s="673">
        <v>1</v>
      </c>
      <c r="AE160" s="673">
        <v>1</v>
      </c>
      <c r="AF160" s="674">
        <v>1</v>
      </c>
      <c r="AG160" s="673">
        <v>1</v>
      </c>
      <c r="AH160" s="673">
        <v>1</v>
      </c>
      <c r="AI160" s="675">
        <v>1</v>
      </c>
      <c r="AJ160" s="673" t="s">
        <v>1155</v>
      </c>
    </row>
    <row r="161" spans="1:36" s="723" customFormat="1" ht="13.5" customHeight="1">
      <c r="A161" s="695" t="s">
        <v>1241</v>
      </c>
      <c r="B161" s="715">
        <v>784</v>
      </c>
      <c r="C161" s="689">
        <v>996</v>
      </c>
      <c r="D161" s="689">
        <v>437</v>
      </c>
      <c r="E161" s="697">
        <v>40.9</v>
      </c>
      <c r="F161" s="697">
        <v>73.900000000000006</v>
      </c>
      <c r="G161" s="690">
        <v>24</v>
      </c>
      <c r="H161" s="698">
        <v>997.7</v>
      </c>
      <c r="I161" s="689">
        <v>848.2</v>
      </c>
      <c r="J161" s="689">
        <v>800.2</v>
      </c>
      <c r="K161" s="689" t="s">
        <v>1141</v>
      </c>
      <c r="L161" s="699">
        <v>152</v>
      </c>
      <c r="M161" s="700">
        <v>326</v>
      </c>
      <c r="N161" s="701">
        <v>3.62</v>
      </c>
      <c r="O161" s="701">
        <v>4.62</v>
      </c>
      <c r="P161" s="695" t="s">
        <v>1241</v>
      </c>
      <c r="Q161" s="722">
        <v>784</v>
      </c>
      <c r="R161" s="697">
        <v>1593000</v>
      </c>
      <c r="S161" s="699">
        <v>31980</v>
      </c>
      <c r="T161" s="699">
        <v>37340</v>
      </c>
      <c r="U161" s="702">
        <v>39.950000000000003</v>
      </c>
      <c r="V161" s="698">
        <v>417.6</v>
      </c>
      <c r="W161" s="699">
        <v>103300</v>
      </c>
      <c r="X161" s="697">
        <v>4728</v>
      </c>
      <c r="Y161" s="697">
        <v>7424</v>
      </c>
      <c r="Z161" s="698">
        <v>10.18</v>
      </c>
      <c r="AA161" s="702">
        <v>216.8</v>
      </c>
      <c r="AB161" s="702">
        <v>13730</v>
      </c>
      <c r="AC161" s="691">
        <v>218490</v>
      </c>
      <c r="AD161" s="689">
        <v>1</v>
      </c>
      <c r="AE161" s="689">
        <v>1</v>
      </c>
      <c r="AF161" s="690" t="s">
        <v>600</v>
      </c>
      <c r="AG161" s="689">
        <v>1</v>
      </c>
      <c r="AH161" s="689">
        <v>1</v>
      </c>
      <c r="AI161" s="691" t="s">
        <v>600</v>
      </c>
      <c r="AJ161" s="689"/>
    </row>
    <row r="162" spans="1:36" s="721" customFormat="1" ht="13.5" customHeight="1">
      <c r="A162" s="706" t="s">
        <v>1242</v>
      </c>
      <c r="B162" s="711">
        <v>967</v>
      </c>
      <c r="C162" s="673">
        <v>1028</v>
      </c>
      <c r="D162" s="673">
        <v>446</v>
      </c>
      <c r="E162" s="708">
        <v>50</v>
      </c>
      <c r="F162" s="708">
        <v>89.9</v>
      </c>
      <c r="G162" s="674">
        <v>24</v>
      </c>
      <c r="H162" s="709">
        <v>1231</v>
      </c>
      <c r="I162" s="673">
        <v>848.2</v>
      </c>
      <c r="J162" s="673">
        <v>800.2</v>
      </c>
      <c r="K162" s="673" t="s">
        <v>1141</v>
      </c>
      <c r="L162" s="710">
        <v>160</v>
      </c>
      <c r="M162" s="711">
        <v>334</v>
      </c>
      <c r="N162" s="712">
        <v>3.7</v>
      </c>
      <c r="O162" s="712">
        <v>3.83</v>
      </c>
      <c r="P162" s="706" t="s">
        <v>1242</v>
      </c>
      <c r="Q162" s="707">
        <v>967</v>
      </c>
      <c r="R162" s="708">
        <v>2033000</v>
      </c>
      <c r="S162" s="710">
        <v>39540</v>
      </c>
      <c r="T162" s="710">
        <v>46810</v>
      </c>
      <c r="U162" s="713">
        <v>40.64</v>
      </c>
      <c r="V162" s="709">
        <v>517.1</v>
      </c>
      <c r="W162" s="710">
        <v>133900</v>
      </c>
      <c r="X162" s="708">
        <v>6003</v>
      </c>
      <c r="Y162" s="708">
        <v>9486</v>
      </c>
      <c r="Z162" s="709">
        <v>10.43</v>
      </c>
      <c r="AA162" s="713">
        <v>257.89999999999998</v>
      </c>
      <c r="AB162" s="713">
        <v>24930</v>
      </c>
      <c r="AC162" s="675">
        <v>292450</v>
      </c>
      <c r="AD162" s="673">
        <v>1</v>
      </c>
      <c r="AE162" s="673">
        <v>1</v>
      </c>
      <c r="AF162" s="674" t="s">
        <v>600</v>
      </c>
      <c r="AG162" s="673">
        <v>1</v>
      </c>
      <c r="AH162" s="673">
        <v>1</v>
      </c>
      <c r="AI162" s="675" t="s">
        <v>600</v>
      </c>
      <c r="AJ162" s="673"/>
    </row>
    <row r="163" spans="1:36" s="723" customFormat="1" ht="13.5" customHeight="1">
      <c r="A163" s="695"/>
      <c r="B163" s="715"/>
      <c r="C163" s="689"/>
      <c r="D163" s="689"/>
      <c r="E163" s="697"/>
      <c r="F163" s="697"/>
      <c r="G163" s="690"/>
      <c r="H163" s="698"/>
      <c r="I163" s="689"/>
      <c r="J163" s="689"/>
      <c r="K163" s="689"/>
      <c r="L163" s="699"/>
      <c r="M163" s="700"/>
      <c r="N163" s="701"/>
      <c r="O163" s="701"/>
      <c r="P163" s="695"/>
      <c r="Q163" s="722"/>
      <c r="R163" s="697"/>
      <c r="S163" s="699"/>
      <c r="T163" s="699"/>
      <c r="U163" s="702"/>
      <c r="V163" s="698"/>
      <c r="W163" s="699"/>
      <c r="X163" s="697"/>
      <c r="Y163" s="697"/>
      <c r="Z163" s="698"/>
      <c r="AA163" s="702"/>
      <c r="AB163" s="702"/>
      <c r="AC163" s="691"/>
      <c r="AD163" s="689"/>
      <c r="AE163" s="689"/>
      <c r="AF163" s="690"/>
      <c r="AG163" s="689"/>
      <c r="AH163" s="689"/>
      <c r="AI163" s="691"/>
      <c r="AJ163" s="689"/>
    </row>
    <row r="164" spans="1:36" s="721" customFormat="1" ht="13.5" customHeight="1">
      <c r="A164" s="706" t="s">
        <v>1243</v>
      </c>
      <c r="B164" s="711">
        <v>296</v>
      </c>
      <c r="C164" s="673">
        <v>982</v>
      </c>
      <c r="D164" s="673">
        <v>400</v>
      </c>
      <c r="E164" s="708">
        <v>16.5</v>
      </c>
      <c r="F164" s="708">
        <v>27</v>
      </c>
      <c r="G164" s="674">
        <v>30</v>
      </c>
      <c r="H164" s="709">
        <v>376.8</v>
      </c>
      <c r="I164" s="673">
        <v>928</v>
      </c>
      <c r="J164" s="673">
        <v>868</v>
      </c>
      <c r="K164" s="673" t="s">
        <v>1141</v>
      </c>
      <c r="L164" s="710">
        <v>134</v>
      </c>
      <c r="M164" s="711">
        <v>294</v>
      </c>
      <c r="N164" s="712">
        <v>3.4790000000000001</v>
      </c>
      <c r="O164" s="712">
        <v>11.76</v>
      </c>
      <c r="P164" s="706" t="s">
        <v>1243</v>
      </c>
      <c r="Q164" s="707">
        <v>296</v>
      </c>
      <c r="R164" s="708">
        <v>618700</v>
      </c>
      <c r="S164" s="710">
        <v>12600</v>
      </c>
      <c r="T164" s="710">
        <v>14220</v>
      </c>
      <c r="U164" s="713">
        <v>40.520000000000003</v>
      </c>
      <c r="V164" s="709">
        <v>181.5</v>
      </c>
      <c r="W164" s="710">
        <v>28850</v>
      </c>
      <c r="X164" s="708">
        <v>1443</v>
      </c>
      <c r="Y164" s="708">
        <v>2235</v>
      </c>
      <c r="Z164" s="709">
        <v>8.75</v>
      </c>
      <c r="AA164" s="713">
        <v>105.6</v>
      </c>
      <c r="AB164" s="713">
        <v>756.9</v>
      </c>
      <c r="AC164" s="675">
        <v>65670</v>
      </c>
      <c r="AD164" s="673">
        <v>1</v>
      </c>
      <c r="AE164" s="673">
        <v>1</v>
      </c>
      <c r="AF164" s="674">
        <v>2</v>
      </c>
      <c r="AG164" s="673">
        <v>4</v>
      </c>
      <c r="AH164" s="673">
        <v>4</v>
      </c>
      <c r="AI164" s="675">
        <v>4</v>
      </c>
      <c r="AJ164" s="673" t="s">
        <v>1155</v>
      </c>
    </row>
    <row r="165" spans="1:36" s="723" customFormat="1" ht="13.5" customHeight="1">
      <c r="A165" s="695" t="s">
        <v>1244</v>
      </c>
      <c r="B165" s="715">
        <v>321</v>
      </c>
      <c r="C165" s="689">
        <v>990</v>
      </c>
      <c r="D165" s="689">
        <v>400</v>
      </c>
      <c r="E165" s="697">
        <v>16.5</v>
      </c>
      <c r="F165" s="697">
        <v>31</v>
      </c>
      <c r="G165" s="690">
        <v>30</v>
      </c>
      <c r="H165" s="698">
        <v>408.8</v>
      </c>
      <c r="I165" s="689">
        <v>928</v>
      </c>
      <c r="J165" s="689">
        <v>868</v>
      </c>
      <c r="K165" s="689" t="s">
        <v>1141</v>
      </c>
      <c r="L165" s="699">
        <v>134</v>
      </c>
      <c r="M165" s="700">
        <v>294</v>
      </c>
      <c r="N165" s="701">
        <v>3.4950000000000001</v>
      </c>
      <c r="O165" s="701">
        <v>10.89</v>
      </c>
      <c r="P165" s="695" t="s">
        <v>1244</v>
      </c>
      <c r="Q165" s="722">
        <v>321</v>
      </c>
      <c r="R165" s="697">
        <v>696400</v>
      </c>
      <c r="S165" s="699">
        <v>14070</v>
      </c>
      <c r="T165" s="699">
        <v>15800</v>
      </c>
      <c r="U165" s="702">
        <v>41.27</v>
      </c>
      <c r="V165" s="698">
        <v>184.6</v>
      </c>
      <c r="W165" s="699">
        <v>33120</v>
      </c>
      <c r="X165" s="697">
        <v>1656</v>
      </c>
      <c r="Y165" s="697">
        <v>2555</v>
      </c>
      <c r="Z165" s="698">
        <v>9</v>
      </c>
      <c r="AA165" s="702">
        <v>113.6</v>
      </c>
      <c r="AB165" s="702">
        <v>1021</v>
      </c>
      <c r="AC165" s="691">
        <v>76030</v>
      </c>
      <c r="AD165" s="689">
        <v>1</v>
      </c>
      <c r="AE165" s="689">
        <v>1</v>
      </c>
      <c r="AF165" s="690">
        <v>2</v>
      </c>
      <c r="AG165" s="689">
        <v>4</v>
      </c>
      <c r="AH165" s="689">
        <v>4</v>
      </c>
      <c r="AI165" s="691">
        <v>4</v>
      </c>
      <c r="AJ165" s="689" t="s">
        <v>1155</v>
      </c>
    </row>
    <row r="166" spans="1:36" s="721" customFormat="1" ht="13.5" customHeight="1">
      <c r="A166" s="706" t="s">
        <v>1245</v>
      </c>
      <c r="B166" s="711">
        <v>371</v>
      </c>
      <c r="C166" s="673">
        <v>1000</v>
      </c>
      <c r="D166" s="673">
        <v>400</v>
      </c>
      <c r="E166" s="708">
        <v>19</v>
      </c>
      <c r="F166" s="708">
        <v>36</v>
      </c>
      <c r="G166" s="674">
        <v>30</v>
      </c>
      <c r="H166" s="709">
        <v>472</v>
      </c>
      <c r="I166" s="673">
        <v>928</v>
      </c>
      <c r="J166" s="673">
        <v>868</v>
      </c>
      <c r="K166" s="673" t="s">
        <v>1141</v>
      </c>
      <c r="L166" s="710">
        <v>136</v>
      </c>
      <c r="M166" s="711">
        <v>294</v>
      </c>
      <c r="N166" s="712">
        <v>3.51</v>
      </c>
      <c r="O166" s="712">
        <v>9.4740000000000002</v>
      </c>
      <c r="P166" s="706" t="s">
        <v>1245</v>
      </c>
      <c r="Q166" s="707">
        <v>371</v>
      </c>
      <c r="R166" s="708">
        <v>812100</v>
      </c>
      <c r="S166" s="710">
        <v>16240</v>
      </c>
      <c r="T166" s="710">
        <v>18330</v>
      </c>
      <c r="U166" s="713">
        <v>41.48</v>
      </c>
      <c r="V166" s="709">
        <v>212.5</v>
      </c>
      <c r="W166" s="710">
        <v>38480</v>
      </c>
      <c r="X166" s="708">
        <v>1924</v>
      </c>
      <c r="Y166" s="708">
        <v>2976</v>
      </c>
      <c r="Z166" s="709">
        <v>9.0299999999999994</v>
      </c>
      <c r="AA166" s="713">
        <v>126.1</v>
      </c>
      <c r="AB166" s="713">
        <v>1565</v>
      </c>
      <c r="AC166" s="675">
        <v>89210</v>
      </c>
      <c r="AD166" s="673">
        <v>1</v>
      </c>
      <c r="AE166" s="673">
        <v>1</v>
      </c>
      <c r="AF166" s="674">
        <v>1</v>
      </c>
      <c r="AG166" s="673">
        <v>4</v>
      </c>
      <c r="AH166" s="673">
        <v>4</v>
      </c>
      <c r="AI166" s="675">
        <v>4</v>
      </c>
      <c r="AJ166" s="673" t="s">
        <v>1155</v>
      </c>
    </row>
    <row r="167" spans="1:36" s="723" customFormat="1" ht="13.5" customHeight="1">
      <c r="A167" s="695" t="s">
        <v>1246</v>
      </c>
      <c r="B167" s="715">
        <v>412</v>
      </c>
      <c r="C167" s="689">
        <v>1008</v>
      </c>
      <c r="D167" s="689">
        <v>402</v>
      </c>
      <c r="E167" s="697">
        <v>21</v>
      </c>
      <c r="F167" s="697">
        <v>40</v>
      </c>
      <c r="G167" s="690">
        <v>30</v>
      </c>
      <c r="H167" s="698">
        <v>524.20000000000005</v>
      </c>
      <c r="I167" s="689">
        <v>928</v>
      </c>
      <c r="J167" s="689">
        <v>868</v>
      </c>
      <c r="K167" s="689" t="s">
        <v>1141</v>
      </c>
      <c r="L167" s="699">
        <v>142</v>
      </c>
      <c r="M167" s="700">
        <v>290</v>
      </c>
      <c r="N167" s="701">
        <v>3.53</v>
      </c>
      <c r="O167" s="701">
        <v>8.58</v>
      </c>
      <c r="P167" s="695" t="s">
        <v>1246</v>
      </c>
      <c r="Q167" s="722">
        <v>412</v>
      </c>
      <c r="R167" s="697">
        <v>909800</v>
      </c>
      <c r="S167" s="699">
        <v>18050</v>
      </c>
      <c r="T167" s="699">
        <v>20440</v>
      </c>
      <c r="U167" s="702">
        <v>41.66</v>
      </c>
      <c r="V167" s="698">
        <v>235</v>
      </c>
      <c r="W167" s="699">
        <v>43410</v>
      </c>
      <c r="X167" s="697">
        <v>2160</v>
      </c>
      <c r="Y167" s="697">
        <v>3348</v>
      </c>
      <c r="Z167" s="698">
        <v>9.1</v>
      </c>
      <c r="AA167" s="702">
        <v>136.1</v>
      </c>
      <c r="AB167" s="702">
        <v>2128</v>
      </c>
      <c r="AC167" s="691">
        <v>101460</v>
      </c>
      <c r="AD167" s="689">
        <v>1</v>
      </c>
      <c r="AE167" s="689">
        <v>1</v>
      </c>
      <c r="AF167" s="690">
        <v>1</v>
      </c>
      <c r="AG167" s="689">
        <v>3</v>
      </c>
      <c r="AH167" s="689">
        <v>4</v>
      </c>
      <c r="AI167" s="691">
        <v>4</v>
      </c>
      <c r="AJ167" s="689" t="s">
        <v>1155</v>
      </c>
    </row>
    <row r="168" spans="1:36" s="721" customFormat="1" ht="13.5" customHeight="1">
      <c r="A168" s="706" t="s">
        <v>1247</v>
      </c>
      <c r="B168" s="711">
        <v>477</v>
      </c>
      <c r="C168" s="673">
        <v>1018</v>
      </c>
      <c r="D168" s="673">
        <v>404</v>
      </c>
      <c r="E168" s="708">
        <v>25.5</v>
      </c>
      <c r="F168" s="708">
        <v>45</v>
      </c>
      <c r="G168" s="674">
        <v>30</v>
      </c>
      <c r="H168" s="709">
        <v>608</v>
      </c>
      <c r="I168" s="673">
        <v>928</v>
      </c>
      <c r="J168" s="673">
        <v>868</v>
      </c>
      <c r="K168" s="673" t="s">
        <v>1141</v>
      </c>
      <c r="L168" s="710">
        <v>146</v>
      </c>
      <c r="M168" s="711">
        <v>292</v>
      </c>
      <c r="N168" s="712">
        <v>3.5489999999999999</v>
      </c>
      <c r="O168" s="712">
        <v>7.4370000000000003</v>
      </c>
      <c r="P168" s="706" t="s">
        <v>1247</v>
      </c>
      <c r="Q168" s="707">
        <v>477</v>
      </c>
      <c r="R168" s="708">
        <v>1047000</v>
      </c>
      <c r="S168" s="710">
        <v>20570</v>
      </c>
      <c r="T168" s="710">
        <v>23530</v>
      </c>
      <c r="U168" s="713">
        <v>41.5</v>
      </c>
      <c r="V168" s="709">
        <v>282.8</v>
      </c>
      <c r="W168" s="710">
        <v>49610</v>
      </c>
      <c r="X168" s="708">
        <v>2456</v>
      </c>
      <c r="Y168" s="708">
        <v>3838</v>
      </c>
      <c r="Z168" s="709">
        <v>9.0299999999999994</v>
      </c>
      <c r="AA168" s="713">
        <v>150.6</v>
      </c>
      <c r="AB168" s="713">
        <v>3159</v>
      </c>
      <c r="AC168" s="675">
        <v>117050</v>
      </c>
      <c r="AD168" s="673">
        <v>1</v>
      </c>
      <c r="AE168" s="673">
        <v>1</v>
      </c>
      <c r="AF168" s="674">
        <v>1</v>
      </c>
      <c r="AG168" s="673">
        <v>2</v>
      </c>
      <c r="AH168" s="673">
        <v>3</v>
      </c>
      <c r="AI168" s="675">
        <v>4</v>
      </c>
      <c r="AJ168" s="673" t="s">
        <v>1155</v>
      </c>
    </row>
    <row r="169" spans="1:36" s="723" customFormat="1" ht="13.5" customHeight="1">
      <c r="A169" s="695" t="s">
        <v>1248</v>
      </c>
      <c r="B169" s="715">
        <v>554</v>
      </c>
      <c r="C169" s="689">
        <v>1032</v>
      </c>
      <c r="D169" s="689">
        <v>408</v>
      </c>
      <c r="E169" s="697">
        <v>29.5</v>
      </c>
      <c r="F169" s="697">
        <v>52</v>
      </c>
      <c r="G169" s="690">
        <v>30</v>
      </c>
      <c r="H169" s="698">
        <v>705.8</v>
      </c>
      <c r="I169" s="689">
        <v>928</v>
      </c>
      <c r="J169" s="689">
        <v>868</v>
      </c>
      <c r="K169" s="689" t="s">
        <v>1141</v>
      </c>
      <c r="L169" s="699">
        <v>150</v>
      </c>
      <c r="M169" s="700">
        <v>296</v>
      </c>
      <c r="N169" s="701">
        <v>3.585</v>
      </c>
      <c r="O169" s="701">
        <v>6.4710000000000001</v>
      </c>
      <c r="P169" s="695" t="s">
        <v>1248</v>
      </c>
      <c r="Q169" s="722">
        <v>554</v>
      </c>
      <c r="R169" s="697">
        <v>1232000</v>
      </c>
      <c r="S169" s="699">
        <v>23880</v>
      </c>
      <c r="T169" s="699">
        <v>27500</v>
      </c>
      <c r="U169" s="702">
        <v>41.79</v>
      </c>
      <c r="V169" s="698">
        <v>328</v>
      </c>
      <c r="W169" s="699">
        <v>59100</v>
      </c>
      <c r="X169" s="697">
        <v>2897</v>
      </c>
      <c r="Y169" s="697">
        <v>4547</v>
      </c>
      <c r="Z169" s="698">
        <v>9.15</v>
      </c>
      <c r="AA169" s="702">
        <v>168.6</v>
      </c>
      <c r="AB169" s="702">
        <v>4860</v>
      </c>
      <c r="AC169" s="691">
        <v>141330</v>
      </c>
      <c r="AD169" s="689">
        <v>1</v>
      </c>
      <c r="AE169" s="689">
        <v>1</v>
      </c>
      <c r="AF169" s="690">
        <v>1</v>
      </c>
      <c r="AG169" s="689">
        <v>1</v>
      </c>
      <c r="AH169" s="689">
        <v>2</v>
      </c>
      <c r="AI169" s="691">
        <v>3</v>
      </c>
      <c r="AJ169" s="689" t="s">
        <v>1155</v>
      </c>
    </row>
    <row r="170" spans="1:36" s="721" customFormat="1" ht="13.5" customHeight="1">
      <c r="A170" s="706" t="s">
        <v>1249</v>
      </c>
      <c r="B170" s="711">
        <v>642</v>
      </c>
      <c r="C170" s="673">
        <v>1048</v>
      </c>
      <c r="D170" s="673">
        <v>412</v>
      </c>
      <c r="E170" s="708">
        <v>34</v>
      </c>
      <c r="F170" s="708">
        <v>60</v>
      </c>
      <c r="G170" s="674">
        <v>30</v>
      </c>
      <c r="H170" s="709">
        <v>817.6</v>
      </c>
      <c r="I170" s="673">
        <v>928</v>
      </c>
      <c r="J170" s="673">
        <v>868</v>
      </c>
      <c r="K170" s="673" t="s">
        <v>1141</v>
      </c>
      <c r="L170" s="710">
        <v>154</v>
      </c>
      <c r="M170" s="711">
        <v>300</v>
      </c>
      <c r="N170" s="712">
        <v>3.6240000000000001</v>
      </c>
      <c r="O170" s="712">
        <v>5.6470000000000002</v>
      </c>
      <c r="P170" s="706" t="s">
        <v>1249</v>
      </c>
      <c r="Q170" s="707">
        <v>642</v>
      </c>
      <c r="R170" s="708">
        <v>1451000</v>
      </c>
      <c r="S170" s="710">
        <v>27680</v>
      </c>
      <c r="T170" s="710">
        <v>32100</v>
      </c>
      <c r="U170" s="713">
        <v>42.12</v>
      </c>
      <c r="V170" s="709">
        <v>379.6</v>
      </c>
      <c r="W170" s="710">
        <v>70280</v>
      </c>
      <c r="X170" s="708">
        <v>3412</v>
      </c>
      <c r="Y170" s="708">
        <v>5379</v>
      </c>
      <c r="Z170" s="709">
        <v>9.27</v>
      </c>
      <c r="AA170" s="713">
        <v>189.1</v>
      </c>
      <c r="AB170" s="713">
        <v>7440</v>
      </c>
      <c r="AC170" s="675">
        <v>170670</v>
      </c>
      <c r="AD170" s="673">
        <v>1</v>
      </c>
      <c r="AE170" s="673">
        <v>1</v>
      </c>
      <c r="AF170" s="674">
        <v>1</v>
      </c>
      <c r="AG170" s="673">
        <v>1</v>
      </c>
      <c r="AH170" s="673">
        <v>1</v>
      </c>
      <c r="AI170" s="675">
        <v>2</v>
      </c>
      <c r="AJ170" s="673" t="s">
        <v>1155</v>
      </c>
    </row>
    <row r="171" spans="1:36" s="723" customFormat="1" ht="13.5" customHeight="1">
      <c r="A171" s="695" t="s">
        <v>1250</v>
      </c>
      <c r="B171" s="715">
        <v>748</v>
      </c>
      <c r="C171" s="689">
        <v>1068</v>
      </c>
      <c r="D171" s="689">
        <v>417</v>
      </c>
      <c r="E171" s="697">
        <v>39</v>
      </c>
      <c r="F171" s="697">
        <v>70</v>
      </c>
      <c r="G171" s="690">
        <v>30</v>
      </c>
      <c r="H171" s="698">
        <v>953.4</v>
      </c>
      <c r="I171" s="689">
        <v>928</v>
      </c>
      <c r="J171" s="689">
        <v>868</v>
      </c>
      <c r="K171" s="689" t="s">
        <v>1141</v>
      </c>
      <c r="L171" s="699">
        <v>160</v>
      </c>
      <c r="M171" s="700">
        <v>304</v>
      </c>
      <c r="N171" s="701">
        <v>3.6739999999999999</v>
      </c>
      <c r="O171" s="701">
        <v>4.9089999999999998</v>
      </c>
      <c r="P171" s="695" t="s">
        <v>1250</v>
      </c>
      <c r="Q171" s="722">
        <v>748</v>
      </c>
      <c r="R171" s="697">
        <v>1732000</v>
      </c>
      <c r="S171" s="699">
        <v>32430</v>
      </c>
      <c r="T171" s="699">
        <v>37880</v>
      </c>
      <c r="U171" s="702">
        <v>42.62</v>
      </c>
      <c r="V171" s="698">
        <v>438.9</v>
      </c>
      <c r="W171" s="699">
        <v>85111</v>
      </c>
      <c r="X171" s="697">
        <v>4082</v>
      </c>
      <c r="Y171" s="697">
        <v>6459</v>
      </c>
      <c r="Z171" s="698">
        <v>9.4499999999999993</v>
      </c>
      <c r="AA171" s="702">
        <v>214.1</v>
      </c>
      <c r="AB171" s="702">
        <v>11670</v>
      </c>
      <c r="AC171" s="691">
        <v>210650</v>
      </c>
      <c r="AD171" s="689">
        <v>1</v>
      </c>
      <c r="AE171" s="689">
        <v>1</v>
      </c>
      <c r="AF171" s="690">
        <v>1</v>
      </c>
      <c r="AG171" s="689">
        <v>1</v>
      </c>
      <c r="AH171" s="689">
        <v>1</v>
      </c>
      <c r="AI171" s="691">
        <v>1</v>
      </c>
      <c r="AJ171" s="689" t="s">
        <v>1155</v>
      </c>
    </row>
    <row r="172" spans="1:36" s="721" customFormat="1" ht="13.5" customHeight="1">
      <c r="A172" s="706" t="s">
        <v>1251</v>
      </c>
      <c r="B172" s="711">
        <v>883</v>
      </c>
      <c r="C172" s="673">
        <v>1092</v>
      </c>
      <c r="D172" s="673">
        <v>424</v>
      </c>
      <c r="E172" s="708">
        <v>45.5</v>
      </c>
      <c r="F172" s="708">
        <v>82</v>
      </c>
      <c r="G172" s="674">
        <v>30</v>
      </c>
      <c r="H172" s="709">
        <v>1125.3</v>
      </c>
      <c r="I172" s="673">
        <v>928</v>
      </c>
      <c r="J172" s="673">
        <v>868</v>
      </c>
      <c r="K172" s="673" t="s">
        <v>1141</v>
      </c>
      <c r="L172" s="710">
        <v>166</v>
      </c>
      <c r="M172" s="711">
        <v>312</v>
      </c>
      <c r="N172" s="712">
        <v>3.7370000000000001</v>
      </c>
      <c r="O172" s="712">
        <v>4.2309999999999999</v>
      </c>
      <c r="P172" s="706" t="s">
        <v>1251</v>
      </c>
      <c r="Q172" s="707">
        <v>883</v>
      </c>
      <c r="R172" s="708">
        <v>2096000</v>
      </c>
      <c r="S172" s="710">
        <v>38390</v>
      </c>
      <c r="T172" s="710">
        <v>45260</v>
      </c>
      <c r="U172" s="713">
        <v>43.16</v>
      </c>
      <c r="V172" s="709">
        <v>516.5</v>
      </c>
      <c r="W172" s="710">
        <v>105000</v>
      </c>
      <c r="X172" s="708">
        <v>4952</v>
      </c>
      <c r="Y172" s="708">
        <v>7874</v>
      </c>
      <c r="Z172" s="709">
        <v>9.66</v>
      </c>
      <c r="AA172" s="713">
        <v>244.6</v>
      </c>
      <c r="AB172" s="713">
        <v>18750</v>
      </c>
      <c r="AC172" s="675">
        <v>265670</v>
      </c>
      <c r="AD172" s="673">
        <v>1</v>
      </c>
      <c r="AE172" s="673">
        <v>1</v>
      </c>
      <c r="AF172" s="674" t="s">
        <v>600</v>
      </c>
      <c r="AG172" s="673">
        <v>1</v>
      </c>
      <c r="AH172" s="673">
        <v>1</v>
      </c>
      <c r="AI172" s="675" t="s">
        <v>600</v>
      </c>
      <c r="AJ172" s="673"/>
    </row>
    <row r="173" spans="1:36" s="723" customFormat="1" ht="13.5" customHeight="1">
      <c r="A173" s="695"/>
      <c r="B173" s="715"/>
      <c r="C173" s="689"/>
      <c r="D173" s="689"/>
      <c r="E173" s="697"/>
      <c r="F173" s="697"/>
      <c r="G173" s="690"/>
      <c r="H173" s="698"/>
      <c r="I173" s="689"/>
      <c r="J173" s="689"/>
      <c r="K173" s="689"/>
      <c r="L173" s="699"/>
      <c r="M173" s="700"/>
      <c r="N173" s="701"/>
      <c r="O173" s="701"/>
      <c r="P173" s="695"/>
      <c r="Q173" s="722"/>
      <c r="R173" s="697"/>
      <c r="S173" s="699"/>
      <c r="T173" s="699"/>
      <c r="U173" s="702"/>
      <c r="V173" s="698"/>
      <c r="W173" s="699"/>
      <c r="X173" s="697"/>
      <c r="Y173" s="697"/>
      <c r="Z173" s="698"/>
      <c r="AA173" s="702"/>
      <c r="AB173" s="702"/>
      <c r="AC173" s="691"/>
      <c r="AD173" s="689"/>
      <c r="AE173" s="689"/>
      <c r="AF173" s="690"/>
      <c r="AG173" s="689"/>
      <c r="AH173" s="689"/>
      <c r="AI173" s="691"/>
      <c r="AJ173" s="689"/>
    </row>
    <row r="174" spans="1:36" s="721" customFormat="1" ht="13.5" customHeight="1">
      <c r="A174" s="706" t="s">
        <v>1252</v>
      </c>
      <c r="B174" s="711">
        <v>343</v>
      </c>
      <c r="C174" s="673">
        <v>1090</v>
      </c>
      <c r="D174" s="673">
        <v>400</v>
      </c>
      <c r="E174" s="708">
        <v>18</v>
      </c>
      <c r="F174" s="708">
        <v>31</v>
      </c>
      <c r="G174" s="674">
        <v>20</v>
      </c>
      <c r="H174" s="709">
        <v>436.5</v>
      </c>
      <c r="I174" s="673">
        <v>1028</v>
      </c>
      <c r="J174" s="673">
        <v>988</v>
      </c>
      <c r="K174" s="673" t="s">
        <v>1141</v>
      </c>
      <c r="L174" s="710">
        <v>116</v>
      </c>
      <c r="M174" s="711">
        <v>294</v>
      </c>
      <c r="N174" s="712">
        <v>3.71</v>
      </c>
      <c r="O174" s="712">
        <v>10.83</v>
      </c>
      <c r="P174" s="706" t="s">
        <v>1252</v>
      </c>
      <c r="Q174" s="707">
        <v>343</v>
      </c>
      <c r="R174" s="708">
        <v>867400</v>
      </c>
      <c r="S174" s="710">
        <v>15920</v>
      </c>
      <c r="T174" s="710">
        <v>18060</v>
      </c>
      <c r="U174" s="713">
        <v>44.58</v>
      </c>
      <c r="V174" s="709">
        <v>206.5</v>
      </c>
      <c r="W174" s="710">
        <v>33120</v>
      </c>
      <c r="X174" s="708">
        <v>1656</v>
      </c>
      <c r="Y174" s="708">
        <v>2568</v>
      </c>
      <c r="Z174" s="709">
        <v>8.7100000000000009</v>
      </c>
      <c r="AA174" s="713">
        <v>103.4</v>
      </c>
      <c r="AB174" s="713">
        <v>1037</v>
      </c>
      <c r="AC174" s="675">
        <v>92710</v>
      </c>
      <c r="AD174" s="673">
        <v>1</v>
      </c>
      <c r="AE174" s="673">
        <v>1</v>
      </c>
      <c r="AF174" s="674">
        <v>2</v>
      </c>
      <c r="AG174" s="673">
        <v>4</v>
      </c>
      <c r="AH174" s="673">
        <v>4</v>
      </c>
      <c r="AI174" s="675">
        <v>4</v>
      </c>
      <c r="AJ174" s="673" t="s">
        <v>1155</v>
      </c>
    </row>
    <row r="175" spans="1:36" s="723" customFormat="1" ht="13.5" customHeight="1">
      <c r="A175" s="695" t="s">
        <v>1253</v>
      </c>
      <c r="B175" s="715">
        <v>390</v>
      </c>
      <c r="C175" s="689">
        <v>1100</v>
      </c>
      <c r="D175" s="689">
        <v>400</v>
      </c>
      <c r="E175" s="697">
        <v>20</v>
      </c>
      <c r="F175" s="697">
        <v>36</v>
      </c>
      <c r="G175" s="690">
        <v>20</v>
      </c>
      <c r="H175" s="698">
        <v>497</v>
      </c>
      <c r="I175" s="689">
        <v>1028</v>
      </c>
      <c r="J175" s="689">
        <v>988</v>
      </c>
      <c r="K175" s="689" t="s">
        <v>1141</v>
      </c>
      <c r="L175" s="699">
        <v>118</v>
      </c>
      <c r="M175" s="700">
        <v>294</v>
      </c>
      <c r="N175" s="701">
        <v>3.726</v>
      </c>
      <c r="O175" s="701">
        <v>9.5489999999999995</v>
      </c>
      <c r="P175" s="695" t="s">
        <v>1253</v>
      </c>
      <c r="Q175" s="686">
        <v>390</v>
      </c>
      <c r="R175" s="697">
        <v>1005000</v>
      </c>
      <c r="S175" s="699">
        <v>18280</v>
      </c>
      <c r="T175" s="699">
        <v>20780</v>
      </c>
      <c r="U175" s="702">
        <v>44.98</v>
      </c>
      <c r="V175" s="698">
        <v>230.6</v>
      </c>
      <c r="W175" s="699">
        <v>38480</v>
      </c>
      <c r="X175" s="697">
        <v>1924</v>
      </c>
      <c r="Y175" s="697">
        <v>2988</v>
      </c>
      <c r="Z175" s="698">
        <v>8.8000000000000007</v>
      </c>
      <c r="AA175" s="687">
        <v>115.4</v>
      </c>
      <c r="AB175" s="687">
        <v>1564</v>
      </c>
      <c r="AC175" s="717">
        <v>108680</v>
      </c>
      <c r="AD175" s="689">
        <v>1</v>
      </c>
      <c r="AE175" s="689">
        <v>1</v>
      </c>
      <c r="AF175" s="690">
        <v>1</v>
      </c>
      <c r="AG175" s="689">
        <v>4</v>
      </c>
      <c r="AH175" s="689">
        <v>4</v>
      </c>
      <c r="AI175" s="691">
        <v>4</v>
      </c>
      <c r="AJ175" s="689" t="s">
        <v>1155</v>
      </c>
    </row>
    <row r="176" spans="1:36" s="721" customFormat="1" ht="13.5" customHeight="1">
      <c r="A176" s="706" t="s">
        <v>1254</v>
      </c>
      <c r="B176" s="711">
        <v>433</v>
      </c>
      <c r="C176" s="673">
        <v>1108</v>
      </c>
      <c r="D176" s="673">
        <v>402</v>
      </c>
      <c r="E176" s="708">
        <v>22</v>
      </c>
      <c r="F176" s="708">
        <v>40</v>
      </c>
      <c r="G176" s="674">
        <v>20</v>
      </c>
      <c r="H176" s="709">
        <v>551.20000000000005</v>
      </c>
      <c r="I176" s="673">
        <v>1028</v>
      </c>
      <c r="J176" s="673">
        <v>988</v>
      </c>
      <c r="K176" s="673" t="s">
        <v>1141</v>
      </c>
      <c r="L176" s="710">
        <v>122</v>
      </c>
      <c r="M176" s="711">
        <v>290</v>
      </c>
      <c r="N176" s="712">
        <v>3.746</v>
      </c>
      <c r="O176" s="712">
        <v>8.657</v>
      </c>
      <c r="P176" s="706" t="s">
        <v>1254</v>
      </c>
      <c r="Q176" s="663">
        <v>433</v>
      </c>
      <c r="R176" s="708">
        <v>1126000</v>
      </c>
      <c r="S176" s="710">
        <v>20320</v>
      </c>
      <c r="T176" s="710">
        <v>23160</v>
      </c>
      <c r="U176" s="713">
        <v>45.19</v>
      </c>
      <c r="V176" s="709">
        <v>254.4</v>
      </c>
      <c r="W176" s="710">
        <v>43410</v>
      </c>
      <c r="X176" s="708">
        <v>2160</v>
      </c>
      <c r="Y176" s="708">
        <v>3362</v>
      </c>
      <c r="Z176" s="709">
        <v>8.8699999999999992</v>
      </c>
      <c r="AA176" s="671">
        <v>125.4</v>
      </c>
      <c r="AB176" s="671">
        <v>2130</v>
      </c>
      <c r="AC176" s="718">
        <v>123500</v>
      </c>
      <c r="AD176" s="673">
        <v>1</v>
      </c>
      <c r="AE176" s="673">
        <v>1</v>
      </c>
      <c r="AF176" s="674">
        <v>1</v>
      </c>
      <c r="AG176" s="673">
        <v>4</v>
      </c>
      <c r="AH176" s="673">
        <v>4</v>
      </c>
      <c r="AI176" s="675">
        <v>4</v>
      </c>
      <c r="AJ176" s="673" t="s">
        <v>1155</v>
      </c>
    </row>
    <row r="177" spans="1:36" s="723" customFormat="1" ht="13.5" customHeight="1">
      <c r="A177" s="695" t="s">
        <v>1255</v>
      </c>
      <c r="B177" s="715">
        <v>499</v>
      </c>
      <c r="C177" s="689">
        <v>1118</v>
      </c>
      <c r="D177" s="689">
        <v>405</v>
      </c>
      <c r="E177" s="697">
        <v>26</v>
      </c>
      <c r="F177" s="697">
        <v>45</v>
      </c>
      <c r="G177" s="690">
        <v>20</v>
      </c>
      <c r="H177" s="698">
        <v>635.20000000000005</v>
      </c>
      <c r="I177" s="689">
        <v>1028</v>
      </c>
      <c r="J177" s="689">
        <v>988</v>
      </c>
      <c r="K177" s="689" t="s">
        <v>1141</v>
      </c>
      <c r="L177" s="699">
        <v>126</v>
      </c>
      <c r="M177" s="700">
        <v>294</v>
      </c>
      <c r="N177" s="701">
        <v>3.77</v>
      </c>
      <c r="O177" s="701">
        <v>7.56</v>
      </c>
      <c r="P177" s="695" t="s">
        <v>1255</v>
      </c>
      <c r="Q177" s="686">
        <v>499</v>
      </c>
      <c r="R177" s="697">
        <v>1294000</v>
      </c>
      <c r="S177" s="699">
        <v>23150</v>
      </c>
      <c r="T177" s="699">
        <v>26600</v>
      </c>
      <c r="U177" s="702">
        <v>45.14</v>
      </c>
      <c r="V177" s="698">
        <v>300.39999999999998</v>
      </c>
      <c r="W177" s="699">
        <v>49980</v>
      </c>
      <c r="X177" s="697">
        <v>2468</v>
      </c>
      <c r="Y177" s="697">
        <v>3870</v>
      </c>
      <c r="Z177" s="698">
        <v>8.8699999999999992</v>
      </c>
      <c r="AA177" s="687">
        <v>139.4</v>
      </c>
      <c r="AB177" s="687">
        <v>3135</v>
      </c>
      <c r="AC177" s="717">
        <v>143410</v>
      </c>
      <c r="AD177" s="689">
        <v>1</v>
      </c>
      <c r="AE177" s="689">
        <v>1</v>
      </c>
      <c r="AF177" s="690">
        <v>1</v>
      </c>
      <c r="AG177" s="689">
        <v>2</v>
      </c>
      <c r="AH177" s="689">
        <v>4</v>
      </c>
      <c r="AI177" s="691">
        <v>4</v>
      </c>
      <c r="AJ177" s="689" t="s">
        <v>1155</v>
      </c>
    </row>
    <row r="178" spans="1:36" s="719" customFormat="1" ht="13.5" customHeight="1" thickBot="1">
      <c r="A178" s="677"/>
      <c r="B178" s="678"/>
      <c r="C178" s="679"/>
      <c r="D178" s="679"/>
      <c r="E178" s="680"/>
      <c r="F178" s="680"/>
      <c r="G178" s="681"/>
      <c r="H178" s="682"/>
      <c r="I178" s="679"/>
      <c r="J178" s="679"/>
      <c r="K178" s="679"/>
      <c r="L178" s="683"/>
      <c r="M178" s="684"/>
      <c r="N178" s="685"/>
      <c r="O178" s="685"/>
      <c r="P178" s="677"/>
      <c r="Q178" s="686"/>
      <c r="R178" s="680"/>
      <c r="S178" s="679"/>
      <c r="T178" s="679"/>
      <c r="U178" s="687"/>
      <c r="V178" s="682"/>
      <c r="W178" s="679"/>
      <c r="X178" s="680"/>
      <c r="Y178" s="679"/>
      <c r="Z178" s="682"/>
      <c r="AA178" s="687"/>
      <c r="AB178" s="702"/>
      <c r="AC178" s="691"/>
      <c r="AD178" s="724"/>
      <c r="AE178" s="724"/>
      <c r="AF178" s="725"/>
      <c r="AG178" s="724"/>
      <c r="AH178" s="724"/>
      <c r="AI178" s="726"/>
      <c r="AJ178" s="727"/>
    </row>
    <row r="179" spans="1:36" s="628" customFormat="1" ht="13.5" customHeight="1" thickTop="1">
      <c r="A179" s="728"/>
      <c r="B179" s="661"/>
      <c r="C179" s="661"/>
      <c r="D179" s="661"/>
      <c r="E179" s="661"/>
      <c r="F179" s="661"/>
      <c r="H179" s="661"/>
      <c r="I179" s="661"/>
      <c r="J179" s="661"/>
      <c r="K179" s="661"/>
      <c r="L179" s="729"/>
      <c r="M179" s="661"/>
      <c r="N179" s="730"/>
      <c r="O179" s="661"/>
      <c r="P179" s="728"/>
      <c r="Q179" s="661"/>
      <c r="R179" s="661"/>
      <c r="S179" s="661"/>
      <c r="T179" s="661"/>
      <c r="U179" s="661"/>
      <c r="V179" s="661"/>
      <c r="W179" s="661"/>
      <c r="X179" s="661"/>
      <c r="Y179" s="661"/>
      <c r="Z179" s="730"/>
      <c r="AA179" s="661"/>
      <c r="AB179" s="731"/>
      <c r="AC179" s="731"/>
      <c r="AD179" s="731"/>
      <c r="AE179" s="731"/>
      <c r="AF179" s="731"/>
      <c r="AG179" s="731"/>
      <c r="AH179" s="731"/>
      <c r="AI179" s="731"/>
      <c r="AJ179" s="661"/>
    </row>
    <row r="180" spans="1:36" s="628" customFormat="1" ht="13.5" hidden="1" customHeight="1">
      <c r="A180" s="728"/>
      <c r="B180" s="661"/>
      <c r="C180" s="661"/>
      <c r="D180" s="661"/>
      <c r="E180" s="661"/>
      <c r="F180" s="661"/>
      <c r="H180" s="661"/>
      <c r="I180" s="661"/>
      <c r="J180" s="661"/>
      <c r="K180" s="661"/>
      <c r="L180" s="729"/>
      <c r="M180" s="661"/>
      <c r="N180" s="730"/>
      <c r="O180" s="661"/>
      <c r="P180" s="728"/>
      <c r="Q180" s="661"/>
      <c r="R180" s="661"/>
      <c r="S180" s="661"/>
      <c r="T180" s="661"/>
      <c r="U180" s="661"/>
      <c r="V180" s="661"/>
      <c r="W180" s="661"/>
      <c r="X180" s="661"/>
      <c r="Y180" s="661"/>
      <c r="Z180" s="730"/>
      <c r="AA180" s="661"/>
      <c r="AB180" s="731"/>
      <c r="AC180" s="731"/>
      <c r="AD180" s="731"/>
      <c r="AE180" s="731"/>
      <c r="AF180" s="731"/>
      <c r="AG180" s="731"/>
      <c r="AH180" s="731"/>
      <c r="AI180" s="731"/>
      <c r="AJ180" s="661"/>
    </row>
    <row r="181" spans="1:36" ht="13.5" hidden="1" customHeight="1"/>
    <row r="182" spans="1:36" ht="13.5" hidden="1" customHeight="1"/>
    <row r="183" spans="1:36" ht="13.5" hidden="1" customHeight="1"/>
    <row r="184" spans="1:36" ht="13.5" hidden="1" customHeight="1">
      <c r="A184" s="732"/>
      <c r="B184" s="733"/>
      <c r="C184" s="733"/>
      <c r="D184" s="733"/>
      <c r="E184" s="732"/>
      <c r="F184" s="734"/>
      <c r="G184" s="733"/>
      <c r="H184" s="734"/>
      <c r="I184" s="733"/>
      <c r="J184" s="733"/>
      <c r="K184" s="732"/>
      <c r="L184" s="735"/>
      <c r="Q184" s="733"/>
      <c r="R184" s="736"/>
      <c r="S184" s="736"/>
      <c r="T184" s="736"/>
      <c r="U184" s="736"/>
      <c r="V184" s="736"/>
      <c r="W184" s="733"/>
      <c r="X184" s="736"/>
      <c r="Y184" s="736"/>
      <c r="Z184" s="736"/>
      <c r="AA184" s="736"/>
      <c r="AB184" s="737"/>
      <c r="AC184" s="737"/>
      <c r="AD184" s="733"/>
    </row>
    <row r="185" spans="1:36" ht="13.5" hidden="1" customHeight="1">
      <c r="A185" s="733"/>
      <c r="B185" s="733"/>
      <c r="C185" s="733"/>
      <c r="D185" s="733"/>
      <c r="E185" s="733"/>
      <c r="F185" s="734"/>
      <c r="G185" s="733"/>
      <c r="H185" s="734"/>
      <c r="I185" s="733"/>
      <c r="J185" s="733"/>
      <c r="K185" s="733"/>
      <c r="L185" s="735"/>
      <c r="Q185" s="733"/>
      <c r="R185" s="736"/>
      <c r="S185" s="736"/>
      <c r="T185" s="736"/>
      <c r="U185" s="736"/>
      <c r="V185" s="736"/>
      <c r="W185" s="733"/>
      <c r="X185" s="736"/>
      <c r="Y185" s="736"/>
      <c r="Z185" s="736"/>
      <c r="AA185" s="736"/>
      <c r="AB185" s="737"/>
      <c r="AC185" s="737"/>
      <c r="AD185" s="733"/>
    </row>
    <row r="186" spans="1:36" ht="13.5" hidden="1" customHeight="1">
      <c r="A186" s="732"/>
      <c r="B186" s="733"/>
      <c r="C186" s="733"/>
      <c r="D186" s="733"/>
      <c r="E186" s="732"/>
      <c r="F186" s="738"/>
      <c r="G186" s="733"/>
      <c r="H186" s="738"/>
      <c r="I186" s="733"/>
      <c r="J186" s="733"/>
      <c r="K186" s="732"/>
      <c r="M186" s="736"/>
      <c r="N186" s="739"/>
      <c r="O186" s="736"/>
      <c r="P186" s="613"/>
      <c r="Q186" s="733"/>
      <c r="R186" s="736"/>
      <c r="S186" s="736"/>
      <c r="T186" s="736"/>
      <c r="U186" s="736"/>
      <c r="V186" s="736"/>
      <c r="W186" s="733"/>
      <c r="X186" s="736"/>
      <c r="Y186" s="736"/>
      <c r="Z186" s="736"/>
      <c r="AA186" s="736"/>
      <c r="AB186" s="737"/>
      <c r="AC186" s="737"/>
      <c r="AD186" s="733"/>
      <c r="AE186" s="737"/>
      <c r="AF186" s="737"/>
      <c r="AG186" s="737"/>
      <c r="AH186" s="737"/>
      <c r="AI186" s="737"/>
      <c r="AJ186" s="736"/>
    </row>
    <row r="187" spans="1:36" ht="13.5" hidden="1" customHeight="1">
      <c r="A187" s="733"/>
      <c r="B187" s="733"/>
      <c r="C187" s="733"/>
      <c r="D187" s="733"/>
      <c r="E187" s="733"/>
      <c r="F187" s="738"/>
      <c r="G187" s="733"/>
      <c r="H187" s="738"/>
      <c r="I187" s="733"/>
      <c r="J187" s="733"/>
      <c r="K187" s="733"/>
      <c r="M187" s="736"/>
      <c r="N187" s="739"/>
      <c r="O187" s="736"/>
      <c r="P187" s="613"/>
      <c r="Q187" s="733"/>
      <c r="R187" s="736"/>
      <c r="S187" s="736"/>
      <c r="T187" s="736"/>
      <c r="U187" s="736"/>
      <c r="V187" s="736"/>
      <c r="W187" s="733"/>
      <c r="X187" s="736"/>
      <c r="Y187" s="736"/>
      <c r="Z187" s="736"/>
      <c r="AA187" s="736"/>
      <c r="AB187" s="737"/>
      <c r="AC187" s="737"/>
      <c r="AD187" s="733"/>
      <c r="AE187" s="737"/>
      <c r="AF187" s="737"/>
      <c r="AG187" s="737"/>
      <c r="AH187" s="737"/>
      <c r="AI187" s="737"/>
      <c r="AJ187" s="736"/>
    </row>
    <row r="188" spans="1:36" ht="13.5" hidden="1" customHeight="1"/>
    <row r="189" spans="1:36" s="736" customFormat="1" ht="13.5" hidden="1" customHeight="1">
      <c r="A189" s="728"/>
      <c r="B189" s="661"/>
      <c r="C189" s="661"/>
      <c r="D189" s="661"/>
      <c r="E189" s="661"/>
      <c r="F189" s="661"/>
      <c r="G189" s="628"/>
      <c r="H189" s="661"/>
      <c r="I189" s="661"/>
      <c r="J189" s="661"/>
      <c r="K189" s="661"/>
      <c r="L189" s="729"/>
      <c r="M189" s="661"/>
      <c r="N189" s="730"/>
      <c r="O189" s="661"/>
      <c r="P189" s="728"/>
      <c r="Q189" s="661"/>
      <c r="R189" s="661"/>
      <c r="S189" s="661"/>
      <c r="T189" s="661"/>
      <c r="U189" s="661"/>
      <c r="V189" s="661"/>
      <c r="W189" s="661"/>
      <c r="X189" s="661"/>
      <c r="Y189" s="661"/>
      <c r="Z189" s="730"/>
      <c r="AA189" s="661"/>
      <c r="AB189" s="731"/>
      <c r="AC189" s="731"/>
      <c r="AD189" s="731"/>
      <c r="AE189" s="731"/>
      <c r="AF189" s="731"/>
      <c r="AG189" s="731"/>
      <c r="AH189" s="731"/>
      <c r="AI189" s="731"/>
      <c r="AJ189" s="661"/>
    </row>
    <row r="190" spans="1:36" s="736" customFormat="1" ht="13.5" hidden="1" customHeight="1">
      <c r="A190" s="733"/>
      <c r="B190" s="733"/>
      <c r="C190" s="733"/>
      <c r="D190" s="733"/>
      <c r="E190" s="733"/>
      <c r="F190" s="738"/>
      <c r="G190" s="733"/>
      <c r="H190" s="738"/>
      <c r="I190" s="733"/>
      <c r="J190" s="733"/>
      <c r="K190" s="733"/>
      <c r="L190" s="729"/>
      <c r="M190" s="661"/>
      <c r="N190" s="730"/>
      <c r="O190" s="661"/>
      <c r="P190" s="728"/>
      <c r="Q190" s="661"/>
      <c r="R190" s="661"/>
      <c r="S190" s="661"/>
      <c r="T190" s="661"/>
      <c r="U190" s="661"/>
      <c r="V190" s="661"/>
      <c r="W190" s="661"/>
      <c r="X190" s="661"/>
      <c r="Y190" s="661"/>
      <c r="Z190" s="730"/>
      <c r="AA190" s="661"/>
      <c r="AB190" s="731"/>
      <c r="AC190" s="731"/>
      <c r="AD190" s="731"/>
      <c r="AE190" s="731"/>
      <c r="AF190" s="731"/>
      <c r="AG190" s="731"/>
      <c r="AH190" s="731"/>
      <c r="AI190" s="731"/>
      <c r="AJ190" s="661"/>
    </row>
    <row r="191" spans="1:36" ht="13.5" hidden="1" customHeight="1">
      <c r="A191" s="733"/>
      <c r="B191" s="733"/>
      <c r="C191" s="733"/>
      <c r="D191" s="733"/>
      <c r="E191" s="733"/>
      <c r="F191" s="738"/>
      <c r="G191" s="733"/>
      <c r="H191" s="738"/>
      <c r="I191" s="733"/>
      <c r="J191" s="733"/>
      <c r="K191" s="733"/>
    </row>
    <row r="192" spans="1:36" ht="13.5" hidden="1" customHeight="1">
      <c r="A192" s="733"/>
      <c r="B192" s="733"/>
      <c r="C192" s="733"/>
      <c r="D192" s="733"/>
      <c r="E192" s="733"/>
      <c r="F192" s="738"/>
      <c r="G192" s="733"/>
      <c r="H192" s="738"/>
      <c r="I192" s="733"/>
      <c r="J192" s="733"/>
      <c r="K192" s="733"/>
    </row>
    <row r="193" ht="13.5" hidden="1" customHeight="1"/>
    <row r="194" ht="13.5" hidden="1" customHeight="1"/>
    <row r="195" ht="13.5" hidden="1" customHeight="1"/>
    <row r="196" ht="13.5" hidden="1" customHeight="1"/>
    <row r="197" ht="13.5" hidden="1" customHeight="1"/>
    <row r="198" ht="13.5" hidden="1" customHeight="1"/>
    <row r="199" ht="13.5" hidden="1" customHeight="1"/>
    <row r="200" ht="13.5" hidden="1" customHeight="1"/>
    <row r="201" ht="13.5" hidden="1" customHeight="1"/>
    <row r="202" ht="13.5" hidden="1" customHeight="1"/>
    <row r="203" ht="13.5" hidden="1" customHeight="1"/>
    <row r="204" ht="13.5" hidden="1" customHeight="1"/>
    <row r="205" ht="13.5" hidden="1" customHeight="1"/>
    <row r="206" ht="13.5" hidden="1" customHeight="1"/>
    <row r="207" ht="13.5" hidden="1" customHeight="1"/>
    <row r="208" ht="13.5" hidden="1" customHeight="1"/>
    <row r="209" ht="13.5" hidden="1" customHeight="1"/>
    <row r="210" ht="13.5" hidden="1" customHeight="1"/>
    <row r="211" ht="13.5" hidden="1" customHeight="1"/>
    <row r="212" ht="13.5" hidden="1" customHeight="1"/>
    <row r="213" ht="13.5" hidden="1" customHeight="1"/>
    <row r="214" ht="13.5" hidden="1" customHeight="1"/>
    <row r="215" ht="13.5" hidden="1" customHeight="1"/>
    <row r="216" ht="13.5" hidden="1" customHeight="1"/>
    <row r="217" ht="13.5" hidden="1" customHeight="1"/>
    <row r="218" ht="13.5" hidden="1" customHeight="1"/>
    <row r="219" ht="13.5" hidden="1" customHeight="1"/>
    <row r="220" ht="13.5" hidden="1" customHeight="1"/>
    <row r="221" ht="13.5" hidden="1" customHeight="1"/>
    <row r="222" ht="13.5" hidden="1" customHeight="1"/>
    <row r="223" ht="13.5" hidden="1" customHeight="1"/>
    <row r="224" ht="13.5" hidden="1" customHeight="1"/>
    <row r="225" ht="13.5" hidden="1" customHeight="1"/>
    <row r="226" ht="13.5" hidden="1" customHeight="1"/>
    <row r="227" ht="13.5" hidden="1" customHeight="1"/>
    <row r="228" ht="13.5" hidden="1" customHeight="1"/>
    <row r="229" ht="13.5" hidden="1" customHeight="1"/>
    <row r="230" ht="13.5" hidden="1" customHeight="1"/>
    <row r="231" ht="13.5" hidden="1" customHeight="1"/>
    <row r="232" ht="13.5" hidden="1" customHeight="1"/>
    <row r="233" ht="13.5" hidden="1" customHeight="1"/>
    <row r="234" ht="13.5" hidden="1" customHeight="1"/>
    <row r="235" ht="13.5" hidden="1" customHeight="1"/>
    <row r="236" ht="13.5" hidden="1" customHeight="1"/>
    <row r="237" ht="13.5" hidden="1" customHeight="1"/>
    <row r="238" ht="13.5" hidden="1" customHeight="1"/>
    <row r="239" ht="13.5" hidden="1" customHeight="1"/>
    <row r="240" ht="13.5" hidden="1" customHeight="1"/>
    <row r="241" ht="13.5" hidden="1" customHeight="1"/>
    <row r="242" ht="13.5" hidden="1" customHeight="1"/>
    <row r="243" ht="13.5" hidden="1" customHeight="1"/>
    <row r="244" ht="13.5" hidden="1" customHeight="1"/>
    <row r="245" ht="13.5" hidden="1" customHeight="1"/>
    <row r="246" ht="13.5" hidden="1" customHeight="1"/>
    <row r="247" ht="13.5" hidden="1" customHeight="1"/>
    <row r="248" ht="13.5" hidden="1" customHeight="1"/>
    <row r="249" ht="13.5" hidden="1" customHeight="1"/>
    <row r="250" ht="13.5" hidden="1" customHeight="1"/>
    <row r="251" ht="13.5" hidden="1" customHeight="1"/>
    <row r="252" ht="13.5" hidden="1" customHeight="1"/>
    <row r="253" ht="13.5" hidden="1" customHeight="1"/>
    <row r="254" ht="13.5" hidden="1" customHeight="1"/>
    <row r="255" ht="13.5" hidden="1" customHeight="1"/>
    <row r="256" ht="13.5" hidden="1" customHeight="1"/>
    <row r="257" ht="13.5" hidden="1" customHeight="1"/>
    <row r="258" ht="13.5" hidden="1" customHeight="1"/>
    <row r="259" ht="13.5" hidden="1" customHeight="1"/>
    <row r="260" ht="13.5" hidden="1" customHeight="1"/>
    <row r="261" ht="13.5" hidden="1" customHeight="1"/>
    <row r="262" ht="13.5" hidden="1" customHeight="1"/>
    <row r="263" ht="13.5" hidden="1" customHeight="1"/>
    <row r="264" ht="13.5" hidden="1" customHeight="1"/>
    <row r="265" ht="13.5" hidden="1" customHeight="1"/>
    <row r="266" ht="13.5" hidden="1" customHeight="1"/>
    <row r="267" ht="13.5" hidden="1" customHeight="1"/>
    <row r="268" ht="13.5" hidden="1" customHeight="1"/>
    <row r="269" ht="13.5" hidden="1" customHeight="1"/>
    <row r="270" ht="13.5" hidden="1" customHeight="1"/>
    <row r="271" ht="13.5" hidden="1" customHeight="1"/>
    <row r="272" ht="13.5" hidden="1" customHeight="1"/>
    <row r="273" ht="13.5" hidden="1" customHeight="1"/>
    <row r="274" ht="13.5" hidden="1" customHeight="1"/>
    <row r="275" ht="13.5" hidden="1" customHeight="1"/>
    <row r="276" ht="13.5" hidden="1" customHeight="1"/>
    <row r="277" ht="13.5" hidden="1" customHeight="1"/>
    <row r="278" ht="13.5" hidden="1" customHeight="1"/>
    <row r="279" ht="13.5" hidden="1" customHeight="1"/>
    <row r="280" ht="13.5" hidden="1" customHeight="1"/>
    <row r="281" ht="13.5" hidden="1" customHeight="1"/>
    <row r="282" ht="13.5" hidden="1" customHeight="1"/>
    <row r="283" ht="13.5" hidden="1" customHeight="1"/>
    <row r="284" ht="13.5" hidden="1" customHeight="1"/>
    <row r="285" ht="13.5" hidden="1" customHeight="1"/>
    <row r="286" ht="13.5" hidden="1" customHeight="1"/>
    <row r="287" ht="13.5" hidden="1" customHeight="1"/>
    <row r="288" ht="13.5" hidden="1" customHeight="1"/>
    <row r="289" ht="13.5" hidden="1" customHeight="1"/>
    <row r="290" ht="13.5" hidden="1" customHeight="1"/>
    <row r="291" ht="13.5" hidden="1" customHeight="1"/>
    <row r="292" ht="13.5" hidden="1" customHeight="1"/>
    <row r="293" ht="13.5" hidden="1" customHeight="1"/>
    <row r="294" ht="13.5" hidden="1" customHeight="1"/>
    <row r="295" ht="13.5" hidden="1" customHeight="1"/>
    <row r="296" ht="13.5" hidden="1" customHeight="1"/>
    <row r="297" ht="13.5" hidden="1" customHeight="1"/>
    <row r="298" ht="13.5" hidden="1" customHeight="1"/>
    <row r="299" ht="13.5" hidden="1" customHeight="1"/>
    <row r="300" ht="13.5" hidden="1" customHeight="1"/>
    <row r="301" ht="13.5" hidden="1" customHeight="1"/>
    <row r="302" ht="13.5" hidden="1" customHeight="1"/>
    <row r="303" ht="13.5" hidden="1" customHeight="1"/>
    <row r="304" ht="13.5" hidden="1" customHeight="1"/>
    <row r="305" ht="13.5" hidden="1" customHeight="1"/>
    <row r="306" ht="13.5" hidden="1" customHeight="1"/>
    <row r="307" ht="13.5" hidden="1" customHeight="1"/>
    <row r="308" ht="13.5" hidden="1" customHeight="1"/>
    <row r="309" ht="13.5" hidden="1" customHeight="1"/>
    <row r="310" ht="13.5" hidden="1" customHeight="1"/>
    <row r="311" ht="13.5" hidden="1" customHeight="1"/>
    <row r="312" ht="13.5" hidden="1" customHeight="1"/>
    <row r="313" ht="13.5" hidden="1" customHeight="1"/>
    <row r="314" ht="13.5" hidden="1" customHeight="1"/>
    <row r="315" ht="13.5" hidden="1" customHeight="1"/>
    <row r="316" ht="13.5" hidden="1" customHeight="1"/>
    <row r="317" ht="13.5" hidden="1" customHeight="1"/>
    <row r="318" ht="13.5" hidden="1" customHeight="1"/>
    <row r="319" ht="13.5" hidden="1" customHeight="1"/>
    <row r="320" ht="13.5" hidden="1" customHeight="1"/>
    <row r="321" ht="13.5" hidden="1" customHeight="1"/>
    <row r="322" ht="13.5" hidden="1" customHeight="1"/>
    <row r="323" ht="13.5" hidden="1" customHeight="1"/>
    <row r="324" ht="13.5" hidden="1" customHeight="1"/>
    <row r="325" ht="13.5" hidden="1" customHeight="1"/>
    <row r="326" ht="13.5" hidden="1" customHeight="1"/>
    <row r="327" ht="13.5" hidden="1" customHeight="1"/>
    <row r="328" ht="13.5" hidden="1" customHeight="1"/>
    <row r="329" ht="13.5" hidden="1" customHeight="1"/>
    <row r="330" ht="13.5" hidden="1" customHeight="1"/>
    <row r="331" ht="13.5" hidden="1" customHeight="1"/>
    <row r="332" ht="13.5" hidden="1" customHeight="1"/>
    <row r="333" ht="13.5" hidden="1" customHeight="1"/>
    <row r="334" ht="13.5" hidden="1" customHeight="1"/>
    <row r="335" ht="13.5" hidden="1" customHeight="1"/>
    <row r="336" ht="13.5" hidden="1" customHeight="1"/>
    <row r="337" ht="13.5" hidden="1" customHeight="1"/>
    <row r="338" ht="13.5" hidden="1" customHeight="1"/>
    <row r="339" ht="13.5" hidden="1" customHeight="1"/>
    <row r="340" ht="13.5" hidden="1" customHeight="1"/>
    <row r="341" ht="13.5" hidden="1" customHeight="1"/>
    <row r="342" ht="13.5" hidden="1" customHeight="1"/>
    <row r="343" ht="13.5" hidden="1" customHeight="1"/>
    <row r="344" ht="13.5" hidden="1" customHeight="1"/>
    <row r="345" ht="13.5" hidden="1" customHeight="1"/>
    <row r="346" ht="13.5" hidden="1" customHeight="1"/>
    <row r="347" ht="13.5" hidden="1" customHeight="1"/>
    <row r="348" ht="13.5" hidden="1" customHeight="1"/>
    <row r="349" ht="13.5" hidden="1" customHeight="1"/>
    <row r="350" ht="13.5" hidden="1" customHeight="1"/>
    <row r="351" ht="13.5" hidden="1" customHeight="1"/>
  </sheetData>
  <pageMargins left="0.75" right="0.75" top="1" bottom="1" header="0.4921259845" footer="0.4921259845"/>
  <pageSetup paperSize="0" scale="57" orientation="landscape" horizontalDpi="4294967292" verticalDpi="4294967292"/>
  <headerFooter alignWithMargins="0">
    <oddFooter>&amp;LLe &amp;D&amp;CProfilés &amp;A du &amp;F&amp;RPage &amp;P sur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B1:AD59"/>
  <sheetViews>
    <sheetView showGridLines="0" zoomScale="73" zoomScaleNormal="73" workbookViewId="0">
      <pane xSplit="1" ySplit="4" topLeftCell="B8" activePane="bottomRight" state="frozen"/>
      <selection pane="topRight" activeCell="B1" sqref="B1"/>
      <selection pane="bottomLeft" activeCell="A5" sqref="A5"/>
      <selection pane="bottomRight" activeCell="AF18" sqref="AF18"/>
    </sheetView>
  </sheetViews>
  <sheetFormatPr defaultRowHeight="13.2"/>
  <cols>
    <col min="1" max="1" width="2.6640625" customWidth="1"/>
    <col min="2" max="2" width="13.88671875" bestFit="1" customWidth="1"/>
    <col min="3" max="5" width="8.6640625" customWidth="1"/>
    <col min="6" max="6" width="13.88671875" bestFit="1" customWidth="1"/>
    <col min="10" max="10" width="2.6640625" customWidth="1"/>
    <col min="11" max="11" width="12.33203125" bestFit="1" customWidth="1"/>
    <col min="15" max="15" width="13.88671875" bestFit="1" customWidth="1"/>
    <col min="19" max="19" width="2.6640625" customWidth="1"/>
  </cols>
  <sheetData>
    <row r="1" spans="2:30" ht="15" customHeight="1"/>
    <row r="2" spans="2:30" ht="15" customHeight="1" thickBot="1">
      <c r="B2" s="507" t="s">
        <v>259</v>
      </c>
      <c r="C2" s="507"/>
      <c r="D2" s="507"/>
      <c r="E2" s="507"/>
      <c r="F2" s="507"/>
      <c r="G2" s="507"/>
      <c r="H2" s="507"/>
      <c r="I2" s="507"/>
      <c r="K2" s="507" t="s">
        <v>282</v>
      </c>
      <c r="L2" s="507"/>
      <c r="M2" s="507"/>
      <c r="N2" s="507"/>
      <c r="O2" s="507"/>
      <c r="P2" s="507"/>
      <c r="Q2" s="507"/>
      <c r="R2" s="507"/>
      <c r="T2" s="507" t="s">
        <v>258</v>
      </c>
      <c r="U2" s="507"/>
      <c r="V2" s="507"/>
      <c r="W2" s="507"/>
      <c r="X2" s="507"/>
      <c r="Y2" s="507"/>
      <c r="Z2" s="507"/>
      <c r="AA2" s="507"/>
      <c r="AB2" s="507"/>
      <c r="AC2" s="507"/>
      <c r="AD2" s="507"/>
    </row>
    <row r="3" spans="2:30" ht="15" customHeight="1" thickTop="1">
      <c r="B3" s="111" t="s">
        <v>260</v>
      </c>
      <c r="C3" s="115" t="s">
        <v>262</v>
      </c>
      <c r="D3" s="283" t="s">
        <v>0</v>
      </c>
      <c r="E3" s="112" t="s">
        <v>2</v>
      </c>
      <c r="F3" s="111" t="s">
        <v>260</v>
      </c>
      <c r="G3" s="115" t="s">
        <v>262</v>
      </c>
      <c r="H3" s="283" t="s">
        <v>0</v>
      </c>
      <c r="I3" s="112" t="s">
        <v>2</v>
      </c>
      <c r="K3" s="111" t="s">
        <v>280</v>
      </c>
      <c r="L3" s="115" t="s">
        <v>262</v>
      </c>
      <c r="M3" s="283" t="s">
        <v>0</v>
      </c>
      <c r="N3" s="112" t="s">
        <v>2</v>
      </c>
      <c r="O3" s="111" t="s">
        <v>260</v>
      </c>
      <c r="P3" s="115" t="s">
        <v>262</v>
      </c>
      <c r="Q3" s="283" t="s">
        <v>0</v>
      </c>
      <c r="R3" s="112" t="s">
        <v>2</v>
      </c>
      <c r="T3" s="111" t="s">
        <v>18</v>
      </c>
      <c r="U3" s="115" t="s">
        <v>17</v>
      </c>
      <c r="V3" s="115" t="s">
        <v>296</v>
      </c>
      <c r="W3" s="505" t="s">
        <v>298</v>
      </c>
      <c r="X3" s="505"/>
      <c r="Y3" s="505"/>
      <c r="Z3" s="505"/>
      <c r="AA3" s="505"/>
      <c r="AB3" s="505"/>
      <c r="AC3" s="505"/>
      <c r="AD3" s="506"/>
    </row>
    <row r="4" spans="2:30" ht="15" customHeight="1">
      <c r="B4" s="14" t="s">
        <v>22</v>
      </c>
      <c r="C4" s="65" t="s">
        <v>22</v>
      </c>
      <c r="D4" s="284" t="s">
        <v>23</v>
      </c>
      <c r="E4" s="16" t="s">
        <v>3</v>
      </c>
      <c r="F4" s="14" t="s">
        <v>22</v>
      </c>
      <c r="G4" s="65" t="s">
        <v>22</v>
      </c>
      <c r="H4" s="284" t="s">
        <v>23</v>
      </c>
      <c r="I4" s="16" t="s">
        <v>3</v>
      </c>
      <c r="K4" s="14" t="s">
        <v>22</v>
      </c>
      <c r="L4" s="65" t="s">
        <v>22</v>
      </c>
      <c r="M4" s="284" t="s">
        <v>23</v>
      </c>
      <c r="N4" s="16" t="s">
        <v>3</v>
      </c>
      <c r="O4" s="14" t="s">
        <v>22</v>
      </c>
      <c r="P4" s="65" t="s">
        <v>22</v>
      </c>
      <c r="Q4" s="284" t="s">
        <v>23</v>
      </c>
      <c r="R4" s="16" t="s">
        <v>3</v>
      </c>
      <c r="T4" s="14" t="s">
        <v>22</v>
      </c>
      <c r="U4" s="65" t="s">
        <v>22</v>
      </c>
      <c r="V4" s="65" t="s">
        <v>297</v>
      </c>
      <c r="W4" s="15">
        <v>1</v>
      </c>
      <c r="X4" s="65">
        <v>1.25</v>
      </c>
      <c r="Y4" s="65">
        <v>1.5</v>
      </c>
      <c r="Z4" s="65">
        <v>2</v>
      </c>
      <c r="AA4" s="15">
        <v>2.5</v>
      </c>
      <c r="AB4" s="113">
        <v>3</v>
      </c>
      <c r="AC4" s="113">
        <v>4</v>
      </c>
      <c r="AD4" s="114">
        <v>5</v>
      </c>
    </row>
    <row r="5" spans="2:30" ht="15" customHeight="1">
      <c r="B5" s="490" t="s">
        <v>279</v>
      </c>
      <c r="C5" s="101">
        <v>0.8</v>
      </c>
      <c r="D5" s="287">
        <v>0.217</v>
      </c>
      <c r="E5" s="110">
        <v>0.28000000000000003</v>
      </c>
      <c r="F5" s="486" t="s">
        <v>271</v>
      </c>
      <c r="G5" s="31">
        <v>2.6</v>
      </c>
      <c r="H5" s="289">
        <v>8.99</v>
      </c>
      <c r="I5" s="105">
        <v>11.5</v>
      </c>
      <c r="K5" s="508" t="s">
        <v>281</v>
      </c>
      <c r="L5" s="65">
        <v>1.2</v>
      </c>
      <c r="M5" s="285">
        <v>1.05</v>
      </c>
      <c r="N5" s="102">
        <v>1.33</v>
      </c>
      <c r="O5" s="508" t="s">
        <v>47</v>
      </c>
      <c r="P5" s="65">
        <v>3.2</v>
      </c>
      <c r="Q5" s="285">
        <v>12</v>
      </c>
      <c r="R5" s="102">
        <v>15.2</v>
      </c>
      <c r="T5" s="14">
        <v>15</v>
      </c>
      <c r="U5" s="65">
        <v>15</v>
      </c>
      <c r="V5" s="116" t="s">
        <v>299</v>
      </c>
      <c r="W5" s="45">
        <v>0.438</v>
      </c>
      <c r="X5" s="45">
        <v>0.53700000000000003</v>
      </c>
      <c r="Y5" s="45">
        <v>0.63200000000000001</v>
      </c>
      <c r="Z5" s="45">
        <v>0.81</v>
      </c>
      <c r="AA5" s="36"/>
      <c r="AB5" s="36"/>
      <c r="AC5" s="36"/>
      <c r="AD5" s="85"/>
    </row>
    <row r="6" spans="2:30" ht="15" customHeight="1">
      <c r="B6" s="492"/>
      <c r="C6" s="65">
        <v>1</v>
      </c>
      <c r="D6" s="288">
        <v>0.26200000000000001</v>
      </c>
      <c r="E6" s="110">
        <v>0.33</v>
      </c>
      <c r="F6" s="487"/>
      <c r="G6" s="31">
        <v>3.2</v>
      </c>
      <c r="H6" s="289">
        <v>11</v>
      </c>
      <c r="I6" s="105">
        <v>14</v>
      </c>
      <c r="K6" s="508"/>
      <c r="L6" s="65">
        <v>1.6</v>
      </c>
      <c r="M6" s="285">
        <v>1.36</v>
      </c>
      <c r="N6" s="102">
        <v>1.73</v>
      </c>
      <c r="O6" s="508"/>
      <c r="P6" s="65">
        <v>4</v>
      </c>
      <c r="Q6" s="285">
        <v>14.8</v>
      </c>
      <c r="R6" s="102">
        <v>18.8</v>
      </c>
      <c r="T6" s="14">
        <v>18</v>
      </c>
      <c r="U6" s="65">
        <v>18</v>
      </c>
      <c r="V6" s="116" t="s">
        <v>299</v>
      </c>
      <c r="W6" s="45">
        <v>0.53200000000000003</v>
      </c>
      <c r="X6" s="45">
        <v>0.65500000000000003</v>
      </c>
      <c r="Y6" s="45">
        <v>0.77300000000000002</v>
      </c>
      <c r="Z6" s="45">
        <v>0.998</v>
      </c>
      <c r="AA6" s="36"/>
      <c r="AB6" s="36"/>
      <c r="AC6" s="36"/>
      <c r="AD6" s="85"/>
    </row>
    <row r="7" spans="2:30" ht="15" customHeight="1">
      <c r="B7" s="486" t="s">
        <v>261</v>
      </c>
      <c r="C7" s="31">
        <v>1.2</v>
      </c>
      <c r="D7" s="289">
        <v>0.67</v>
      </c>
      <c r="E7" s="105">
        <v>0.85299999999999998</v>
      </c>
      <c r="F7" s="487"/>
      <c r="G7" s="31">
        <v>4</v>
      </c>
      <c r="H7" s="289">
        <v>13.5</v>
      </c>
      <c r="I7" s="105">
        <v>17.2</v>
      </c>
      <c r="K7" s="508"/>
      <c r="L7" s="65">
        <v>2</v>
      </c>
      <c r="M7" s="285">
        <v>1.65</v>
      </c>
      <c r="N7" s="102">
        <v>2.1</v>
      </c>
      <c r="O7" s="508"/>
      <c r="P7" s="65">
        <v>5</v>
      </c>
      <c r="Q7" s="285">
        <v>18.2</v>
      </c>
      <c r="R7" s="102">
        <v>23.1</v>
      </c>
      <c r="T7" s="466">
        <v>20</v>
      </c>
      <c r="U7" s="65">
        <v>10</v>
      </c>
      <c r="V7" s="504" t="s">
        <v>299</v>
      </c>
      <c r="W7" s="45">
        <v>0.438</v>
      </c>
      <c r="X7" s="45">
        <v>0.53700000000000003</v>
      </c>
      <c r="Y7" s="45">
        <v>0.63200000000000001</v>
      </c>
      <c r="Z7" s="45">
        <v>0.81</v>
      </c>
      <c r="AA7" s="36"/>
      <c r="AB7" s="36"/>
      <c r="AC7" s="36"/>
      <c r="AD7" s="85"/>
    </row>
    <row r="8" spans="2:30" ht="15" customHeight="1">
      <c r="B8" s="487"/>
      <c r="C8" s="31">
        <v>1.6</v>
      </c>
      <c r="D8" s="289">
        <v>0.85499999999999998</v>
      </c>
      <c r="E8" s="105">
        <v>1.0900000000000001</v>
      </c>
      <c r="F8" s="487"/>
      <c r="G8" s="31">
        <v>5</v>
      </c>
      <c r="H8" s="289">
        <v>16.600000000000001</v>
      </c>
      <c r="I8" s="105">
        <v>21.1</v>
      </c>
      <c r="K8" s="508"/>
      <c r="L8" s="65">
        <v>2.6</v>
      </c>
      <c r="M8" s="285">
        <v>2.0499999999999998</v>
      </c>
      <c r="N8" s="102">
        <v>2.62</v>
      </c>
      <c r="O8" s="508"/>
      <c r="P8" s="65">
        <v>6.3</v>
      </c>
      <c r="Q8" s="285">
        <v>22.4</v>
      </c>
      <c r="R8" s="102">
        <v>28.5</v>
      </c>
      <c r="T8" s="466"/>
      <c r="U8" s="65">
        <v>15</v>
      </c>
      <c r="V8" s="504"/>
      <c r="W8" s="45">
        <v>0.51600000000000001</v>
      </c>
      <c r="X8" s="45">
        <v>0.63500000000000001</v>
      </c>
      <c r="Y8" s="45">
        <v>0.75</v>
      </c>
      <c r="Z8" s="45">
        <v>0.96699999999999997</v>
      </c>
      <c r="AA8" s="36"/>
      <c r="AB8" s="36"/>
      <c r="AC8" s="36"/>
      <c r="AD8" s="85"/>
    </row>
    <row r="9" spans="2:30" ht="15" customHeight="1">
      <c r="B9" s="488"/>
      <c r="C9" s="31">
        <v>2</v>
      </c>
      <c r="D9" s="289">
        <v>1.02</v>
      </c>
      <c r="E9" s="105">
        <v>1.3</v>
      </c>
      <c r="F9" s="487"/>
      <c r="G9" s="31">
        <v>6.3</v>
      </c>
      <c r="H9" s="289">
        <v>20.399999999999999</v>
      </c>
      <c r="I9" s="105">
        <v>26</v>
      </c>
      <c r="K9" s="490" t="s">
        <v>283</v>
      </c>
      <c r="L9" s="65">
        <v>1.2</v>
      </c>
      <c r="M9" s="285">
        <v>1.42</v>
      </c>
      <c r="N9" s="102">
        <v>1.81</v>
      </c>
      <c r="O9" s="508"/>
      <c r="P9" s="65">
        <v>7.1</v>
      </c>
      <c r="Q9" s="285">
        <v>24.9</v>
      </c>
      <c r="R9" s="102">
        <v>31.8</v>
      </c>
      <c r="T9" s="466"/>
      <c r="U9" s="65">
        <v>20</v>
      </c>
      <c r="V9" s="504"/>
      <c r="W9" s="45">
        <v>0.59499999999999997</v>
      </c>
      <c r="X9" s="45">
        <v>0.73299999999999998</v>
      </c>
      <c r="Y9" s="45">
        <v>0.86799999999999999</v>
      </c>
      <c r="Z9" s="45">
        <v>1.1200000000000001</v>
      </c>
      <c r="AA9" s="36"/>
      <c r="AB9" s="36"/>
      <c r="AC9" s="36"/>
      <c r="AD9" s="85"/>
    </row>
    <row r="10" spans="2:30" ht="15" customHeight="1">
      <c r="B10" s="486" t="s">
        <v>263</v>
      </c>
      <c r="C10" s="31">
        <v>1.2</v>
      </c>
      <c r="D10" s="289">
        <v>1.05</v>
      </c>
      <c r="E10" s="105">
        <v>1.33</v>
      </c>
      <c r="F10" s="488"/>
      <c r="G10" s="31">
        <v>7.1</v>
      </c>
      <c r="H10" s="289">
        <v>22.7</v>
      </c>
      <c r="I10" s="105">
        <v>28.9</v>
      </c>
      <c r="K10" s="491"/>
      <c r="L10" s="65">
        <v>1.6</v>
      </c>
      <c r="M10" s="285">
        <v>1.86</v>
      </c>
      <c r="N10" s="102">
        <v>2.37</v>
      </c>
      <c r="O10" s="508"/>
      <c r="P10" s="65">
        <v>8</v>
      </c>
      <c r="Q10" s="285">
        <v>27.7</v>
      </c>
      <c r="R10" s="102">
        <v>35.200000000000003</v>
      </c>
      <c r="T10" s="499">
        <v>25</v>
      </c>
      <c r="U10" s="65">
        <v>15</v>
      </c>
      <c r="V10" s="496" t="s">
        <v>300</v>
      </c>
      <c r="W10" s="45">
        <v>0.59499999999999997</v>
      </c>
      <c r="X10" s="45">
        <v>0.73299999999999998</v>
      </c>
      <c r="Y10" s="45">
        <v>0.86799999999999999</v>
      </c>
      <c r="Z10" s="45">
        <v>1.1200000000000001</v>
      </c>
      <c r="AA10" s="36"/>
      <c r="AB10" s="36"/>
      <c r="AC10" s="36"/>
      <c r="AD10" s="85"/>
    </row>
    <row r="11" spans="2:30" ht="15" customHeight="1">
      <c r="B11" s="487"/>
      <c r="C11" s="31">
        <v>1.6</v>
      </c>
      <c r="D11" s="289">
        <v>1.36</v>
      </c>
      <c r="E11" s="105">
        <v>1.73</v>
      </c>
      <c r="F11" s="486" t="s">
        <v>272</v>
      </c>
      <c r="G11" s="34">
        <v>3.2</v>
      </c>
      <c r="H11" s="289">
        <v>11.5</v>
      </c>
      <c r="I11" s="105">
        <v>14.6</v>
      </c>
      <c r="K11" s="491"/>
      <c r="L11" s="65">
        <v>2</v>
      </c>
      <c r="M11" s="285">
        <v>2.2799999999999998</v>
      </c>
      <c r="N11" s="102">
        <v>2.5</v>
      </c>
      <c r="O11" s="508"/>
      <c r="P11" s="65">
        <v>10</v>
      </c>
      <c r="Q11" s="285">
        <v>33.4</v>
      </c>
      <c r="R11" s="102">
        <v>42.6</v>
      </c>
      <c r="T11" s="502"/>
      <c r="U11" s="65">
        <v>25</v>
      </c>
      <c r="V11" s="498"/>
      <c r="W11" s="45">
        <v>0.752</v>
      </c>
      <c r="X11" s="45">
        <v>0.93</v>
      </c>
      <c r="Y11" s="45">
        <v>1.1000000000000001</v>
      </c>
      <c r="Z11" s="45">
        <v>1.44</v>
      </c>
      <c r="AA11" s="36"/>
      <c r="AB11" s="36"/>
      <c r="AC11" s="36"/>
      <c r="AD11" s="85"/>
    </row>
    <row r="12" spans="2:30" ht="15" customHeight="1">
      <c r="B12" s="487"/>
      <c r="C12" s="31">
        <v>2</v>
      </c>
      <c r="D12" s="289">
        <v>1.65</v>
      </c>
      <c r="E12" s="105">
        <v>2.1</v>
      </c>
      <c r="F12" s="487"/>
      <c r="G12" s="31">
        <v>4</v>
      </c>
      <c r="H12" s="289">
        <v>14.1</v>
      </c>
      <c r="I12" s="105">
        <v>18</v>
      </c>
      <c r="K12" s="491"/>
      <c r="L12" s="65">
        <v>2.6</v>
      </c>
      <c r="M12" s="285">
        <v>2.87</v>
      </c>
      <c r="N12" s="102">
        <v>3.66</v>
      </c>
      <c r="O12" s="508" t="s">
        <v>291</v>
      </c>
      <c r="P12" s="65">
        <v>3.2</v>
      </c>
      <c r="Q12" s="285">
        <v>11.5</v>
      </c>
      <c r="R12" s="102">
        <v>14.6</v>
      </c>
      <c r="T12" s="499">
        <v>30</v>
      </c>
      <c r="U12" s="65">
        <v>10</v>
      </c>
      <c r="V12" s="496" t="s">
        <v>300</v>
      </c>
      <c r="W12" s="45">
        <v>0.59499999999999997</v>
      </c>
      <c r="X12" s="45">
        <v>0.73299999999999998</v>
      </c>
      <c r="Y12" s="45">
        <v>0.86799999999999999</v>
      </c>
      <c r="Z12" s="45">
        <v>1.1200000000000001</v>
      </c>
      <c r="AA12" s="36"/>
      <c r="AB12" s="36"/>
      <c r="AC12" s="36"/>
      <c r="AD12" s="85"/>
    </row>
    <row r="13" spans="2:30" ht="15" customHeight="1">
      <c r="B13" s="488"/>
      <c r="C13" s="31">
        <v>2.6</v>
      </c>
      <c r="D13" s="289">
        <v>2.0499999999999998</v>
      </c>
      <c r="E13" s="105">
        <v>2.62</v>
      </c>
      <c r="F13" s="487"/>
      <c r="G13" s="31">
        <v>5</v>
      </c>
      <c r="H13" s="289">
        <v>17.399999999999999</v>
      </c>
      <c r="I13" s="105">
        <v>22.1</v>
      </c>
      <c r="K13" s="491"/>
      <c r="L13" s="65">
        <v>3.2</v>
      </c>
      <c r="M13" s="285">
        <v>3.42</v>
      </c>
      <c r="N13" s="102">
        <v>4.3600000000000003</v>
      </c>
      <c r="O13" s="508"/>
      <c r="P13" s="65">
        <v>4</v>
      </c>
      <c r="Q13" s="285">
        <v>14.1</v>
      </c>
      <c r="R13" s="102">
        <v>18</v>
      </c>
      <c r="T13" s="503"/>
      <c r="U13" s="65">
        <v>15</v>
      </c>
      <c r="V13" s="497"/>
      <c r="W13" s="45">
        <v>0.67300000000000004</v>
      </c>
      <c r="X13" s="45">
        <v>0.83099999999999996</v>
      </c>
      <c r="Y13" s="45">
        <v>0.98499999999999999</v>
      </c>
      <c r="Z13" s="45">
        <v>1.28</v>
      </c>
      <c r="AA13" s="36"/>
      <c r="AB13" s="36"/>
      <c r="AC13" s="36"/>
      <c r="AD13" s="85"/>
    </row>
    <row r="14" spans="2:30" ht="15" customHeight="1">
      <c r="B14" s="486" t="s">
        <v>264</v>
      </c>
      <c r="C14" s="31">
        <v>1.2</v>
      </c>
      <c r="D14" s="289">
        <v>1.42</v>
      </c>
      <c r="E14" s="105">
        <v>1.81</v>
      </c>
      <c r="F14" s="487"/>
      <c r="G14" s="31">
        <v>6.3</v>
      </c>
      <c r="H14" s="289">
        <v>21.4</v>
      </c>
      <c r="I14" s="105">
        <v>27.3</v>
      </c>
      <c r="K14" s="492"/>
      <c r="L14" s="65">
        <v>4</v>
      </c>
      <c r="M14" s="285">
        <v>4.09</v>
      </c>
      <c r="N14" s="102">
        <v>5.21</v>
      </c>
      <c r="O14" s="508"/>
      <c r="P14" s="65">
        <v>5</v>
      </c>
      <c r="Q14" s="285">
        <v>17.399999999999999</v>
      </c>
      <c r="R14" s="102">
        <v>22.1</v>
      </c>
      <c r="T14" s="503"/>
      <c r="U14" s="65">
        <v>20</v>
      </c>
      <c r="V14" s="497"/>
      <c r="W14" s="45">
        <v>0.752</v>
      </c>
      <c r="X14" s="45">
        <v>0.93</v>
      </c>
      <c r="Y14" s="45">
        <v>1.1000000000000001</v>
      </c>
      <c r="Z14" s="45">
        <v>1.44</v>
      </c>
      <c r="AA14" s="36"/>
      <c r="AB14" s="36"/>
      <c r="AC14" s="36"/>
      <c r="AD14" s="85"/>
    </row>
    <row r="15" spans="2:30" ht="15" customHeight="1">
      <c r="B15" s="487"/>
      <c r="C15" s="31">
        <v>1.6</v>
      </c>
      <c r="D15" s="289">
        <v>1.86</v>
      </c>
      <c r="E15" s="105">
        <v>2.37</v>
      </c>
      <c r="F15" s="487"/>
      <c r="G15" s="31">
        <v>7.1</v>
      </c>
      <c r="H15" s="289">
        <v>23.8</v>
      </c>
      <c r="I15" s="105">
        <v>30.3</v>
      </c>
      <c r="K15" s="490" t="s">
        <v>284</v>
      </c>
      <c r="L15" s="65">
        <v>1.2</v>
      </c>
      <c r="M15" s="285">
        <v>2.36</v>
      </c>
      <c r="N15" s="102">
        <v>3.01</v>
      </c>
      <c r="O15" s="508"/>
      <c r="P15" s="65">
        <v>6.3</v>
      </c>
      <c r="Q15" s="285">
        <v>21.4</v>
      </c>
      <c r="R15" s="102">
        <v>27.3</v>
      </c>
      <c r="T15" s="502"/>
      <c r="U15" s="65">
        <v>30</v>
      </c>
      <c r="V15" s="498"/>
      <c r="W15" s="45">
        <v>0.90900000000000003</v>
      </c>
      <c r="X15" s="45">
        <v>1.1299999999999999</v>
      </c>
      <c r="Y15" s="45">
        <v>1.34</v>
      </c>
      <c r="Z15" s="45">
        <v>1.75</v>
      </c>
      <c r="AA15" s="45">
        <v>2.15</v>
      </c>
      <c r="AB15" s="45">
        <v>2.4900000000000002</v>
      </c>
      <c r="AC15" s="36"/>
      <c r="AD15" s="85"/>
    </row>
    <row r="16" spans="2:30" ht="15" customHeight="1">
      <c r="B16" s="487"/>
      <c r="C16" s="31">
        <v>2</v>
      </c>
      <c r="D16" s="289">
        <v>2.2799999999999998</v>
      </c>
      <c r="E16" s="105">
        <v>2.9</v>
      </c>
      <c r="F16" s="487"/>
      <c r="G16" s="31">
        <v>8</v>
      </c>
      <c r="H16" s="289">
        <v>26.4</v>
      </c>
      <c r="I16" s="105">
        <v>33.6</v>
      </c>
      <c r="K16" s="491"/>
      <c r="L16" s="65">
        <v>1.6</v>
      </c>
      <c r="M16" s="285">
        <v>2.91</v>
      </c>
      <c r="N16" s="102">
        <v>3.7</v>
      </c>
      <c r="O16" s="508"/>
      <c r="P16" s="65">
        <v>7.1</v>
      </c>
      <c r="Q16" s="285">
        <v>23.8</v>
      </c>
      <c r="R16" s="102">
        <v>30.3</v>
      </c>
      <c r="T16" s="499">
        <v>34</v>
      </c>
      <c r="U16" s="65">
        <v>20</v>
      </c>
      <c r="V16" s="496" t="s">
        <v>300</v>
      </c>
      <c r="W16" s="45">
        <v>0.81499999999999995</v>
      </c>
      <c r="X16" s="45">
        <v>1.01</v>
      </c>
      <c r="Y16" s="45">
        <v>1.2</v>
      </c>
      <c r="Z16" s="45">
        <v>1.56</v>
      </c>
      <c r="AA16" s="45"/>
      <c r="AB16" s="45"/>
      <c r="AC16" s="36"/>
      <c r="AD16" s="85"/>
    </row>
    <row r="17" spans="2:30" ht="15" customHeight="1">
      <c r="B17" s="487"/>
      <c r="C17" s="31">
        <v>2.6</v>
      </c>
      <c r="D17" s="289">
        <v>2.87</v>
      </c>
      <c r="E17" s="105">
        <v>3.66</v>
      </c>
      <c r="F17" s="488"/>
      <c r="G17" s="31">
        <v>10</v>
      </c>
      <c r="H17" s="289">
        <v>31.8</v>
      </c>
      <c r="I17" s="105">
        <v>40.6</v>
      </c>
      <c r="K17" s="491"/>
      <c r="L17" s="65">
        <v>2</v>
      </c>
      <c r="M17" s="285">
        <v>3.69</v>
      </c>
      <c r="N17" s="102">
        <v>4.7</v>
      </c>
      <c r="O17" s="508"/>
      <c r="P17" s="65">
        <v>8</v>
      </c>
      <c r="Q17" s="285">
        <v>26.4</v>
      </c>
      <c r="R17" s="102">
        <v>33.6</v>
      </c>
      <c r="T17" s="502"/>
      <c r="U17" s="65">
        <v>34</v>
      </c>
      <c r="V17" s="472"/>
      <c r="W17" s="45">
        <v>1.03</v>
      </c>
      <c r="X17" s="45">
        <v>1.28</v>
      </c>
      <c r="Y17" s="45">
        <v>1.53</v>
      </c>
      <c r="Z17" s="45">
        <v>2</v>
      </c>
      <c r="AA17" s="45">
        <v>2.46</v>
      </c>
      <c r="AB17" s="45">
        <v>2.77</v>
      </c>
      <c r="AC17" s="36"/>
      <c r="AD17" s="85"/>
    </row>
    <row r="18" spans="2:30" ht="15" customHeight="1">
      <c r="B18" s="487"/>
      <c r="C18" s="31">
        <v>3.2</v>
      </c>
      <c r="D18" s="289">
        <v>3.42</v>
      </c>
      <c r="E18" s="105">
        <v>4.3600000000000003</v>
      </c>
      <c r="F18" s="486" t="s">
        <v>273</v>
      </c>
      <c r="G18" s="34">
        <v>3.2</v>
      </c>
      <c r="H18" s="289">
        <v>13</v>
      </c>
      <c r="I18" s="105">
        <v>16.5</v>
      </c>
      <c r="K18" s="491"/>
      <c r="L18" s="65">
        <v>2.6</v>
      </c>
      <c r="M18" s="285">
        <v>4.43</v>
      </c>
      <c r="N18" s="102">
        <v>5.64</v>
      </c>
      <c r="O18" s="508"/>
      <c r="P18" s="65">
        <v>10</v>
      </c>
      <c r="Q18" s="285">
        <v>31.8</v>
      </c>
      <c r="R18" s="102">
        <v>40.6</v>
      </c>
      <c r="T18" s="466">
        <v>35</v>
      </c>
      <c r="U18" s="65">
        <v>20</v>
      </c>
      <c r="V18" s="504" t="s">
        <v>300</v>
      </c>
      <c r="W18" s="45">
        <v>0.83</v>
      </c>
      <c r="X18" s="45">
        <v>1.03</v>
      </c>
      <c r="Y18" s="45">
        <v>1.22</v>
      </c>
      <c r="Z18" s="45">
        <v>1.59</v>
      </c>
      <c r="AA18" s="45">
        <v>1.95</v>
      </c>
      <c r="AB18" s="45"/>
      <c r="AC18" s="36"/>
      <c r="AD18" s="85"/>
    </row>
    <row r="19" spans="2:30" ht="15" customHeight="1">
      <c r="B19" s="488"/>
      <c r="C19" s="31">
        <v>4</v>
      </c>
      <c r="D19" s="289">
        <v>4.09</v>
      </c>
      <c r="E19" s="105">
        <v>5.21</v>
      </c>
      <c r="F19" s="487"/>
      <c r="G19" s="31">
        <v>4</v>
      </c>
      <c r="H19" s="289">
        <v>16</v>
      </c>
      <c r="I19" s="105">
        <v>20.399999999999999</v>
      </c>
      <c r="K19" s="491"/>
      <c r="L19" s="65">
        <v>3.2</v>
      </c>
      <c r="M19" s="285">
        <v>5.35</v>
      </c>
      <c r="N19" s="102">
        <v>6.81</v>
      </c>
      <c r="O19" s="508" t="s">
        <v>292</v>
      </c>
      <c r="P19" s="65">
        <v>3.2</v>
      </c>
      <c r="Q19" s="285">
        <v>13.5</v>
      </c>
      <c r="R19" s="102">
        <v>17.2</v>
      </c>
      <c r="T19" s="466"/>
      <c r="U19" s="65">
        <v>25</v>
      </c>
      <c r="V19" s="504"/>
      <c r="W19" s="45">
        <v>0.90900000000000003</v>
      </c>
      <c r="X19" s="45">
        <v>1.1299999999999999</v>
      </c>
      <c r="Y19" s="45">
        <v>1.34</v>
      </c>
      <c r="Z19" s="45">
        <v>1.75</v>
      </c>
      <c r="AA19" s="45">
        <v>2.15</v>
      </c>
      <c r="AB19" s="45">
        <v>2.39</v>
      </c>
      <c r="AC19" s="36"/>
      <c r="AD19" s="85"/>
    </row>
    <row r="20" spans="2:30" ht="15" customHeight="1">
      <c r="B20" s="486" t="s">
        <v>265</v>
      </c>
      <c r="C20" s="31">
        <v>1.6</v>
      </c>
      <c r="D20" s="289">
        <v>2.36</v>
      </c>
      <c r="E20" s="105">
        <v>3.01</v>
      </c>
      <c r="F20" s="487"/>
      <c r="G20" s="31">
        <v>5</v>
      </c>
      <c r="H20" s="289">
        <v>19.7</v>
      </c>
      <c r="I20" s="105">
        <v>25.1</v>
      </c>
      <c r="K20" s="492"/>
      <c r="L20" s="65">
        <v>4</v>
      </c>
      <c r="M20" s="285">
        <v>6.39</v>
      </c>
      <c r="N20" s="102">
        <v>8.14</v>
      </c>
      <c r="O20" s="508"/>
      <c r="P20" s="65">
        <v>4</v>
      </c>
      <c r="Q20" s="285">
        <v>16.7</v>
      </c>
      <c r="R20" s="102">
        <v>21.2</v>
      </c>
      <c r="T20" s="466"/>
      <c r="U20" s="65">
        <v>35</v>
      </c>
      <c r="V20" s="504"/>
      <c r="W20" s="45">
        <v>1.07</v>
      </c>
      <c r="X20" s="45">
        <v>1.32</v>
      </c>
      <c r="Y20" s="45">
        <v>1.57</v>
      </c>
      <c r="Z20" s="45">
        <v>2.0699999999999998</v>
      </c>
      <c r="AA20" s="45">
        <v>2.54</v>
      </c>
      <c r="AB20" s="45">
        <v>2.86</v>
      </c>
      <c r="AC20" s="36"/>
      <c r="AD20" s="85"/>
    </row>
    <row r="21" spans="2:30" ht="15" customHeight="1">
      <c r="B21" s="487"/>
      <c r="C21" s="31">
        <v>2</v>
      </c>
      <c r="D21" s="289">
        <v>2.91</v>
      </c>
      <c r="E21" s="105">
        <v>3.7</v>
      </c>
      <c r="F21" s="487"/>
      <c r="G21" s="31">
        <v>6.3</v>
      </c>
      <c r="H21" s="289">
        <v>24.4</v>
      </c>
      <c r="I21" s="105">
        <v>31.1</v>
      </c>
      <c r="K21" s="490" t="s">
        <v>285</v>
      </c>
      <c r="L21" s="65">
        <v>1.6</v>
      </c>
      <c r="M21" s="285">
        <v>2.87</v>
      </c>
      <c r="N21" s="102">
        <v>3.65</v>
      </c>
      <c r="O21" s="508"/>
      <c r="P21" s="65">
        <v>5</v>
      </c>
      <c r="Q21" s="285">
        <v>20.5</v>
      </c>
      <c r="R21" s="102">
        <v>26.1</v>
      </c>
      <c r="T21" s="14">
        <v>36</v>
      </c>
      <c r="U21" s="65">
        <v>11</v>
      </c>
      <c r="V21" s="116" t="s">
        <v>300</v>
      </c>
      <c r="W21" s="36">
        <v>0.70499999999999996</v>
      </c>
      <c r="X21" s="36">
        <v>0.871</v>
      </c>
      <c r="Y21" s="40">
        <v>1.03</v>
      </c>
      <c r="Z21" s="40">
        <v>1.34</v>
      </c>
      <c r="AA21" s="40"/>
      <c r="AB21" s="40"/>
      <c r="AC21" s="40"/>
      <c r="AD21" s="102"/>
    </row>
    <row r="22" spans="2:30" ht="15" customHeight="1">
      <c r="B22" s="487"/>
      <c r="C22" s="31">
        <v>2.6</v>
      </c>
      <c r="D22" s="289">
        <v>3.69</v>
      </c>
      <c r="E22" s="105">
        <v>4.7</v>
      </c>
      <c r="F22" s="487"/>
      <c r="G22" s="31">
        <v>7.1</v>
      </c>
      <c r="H22" s="289">
        <v>27.2</v>
      </c>
      <c r="I22" s="105">
        <v>34.6</v>
      </c>
      <c r="K22" s="491"/>
      <c r="L22" s="65">
        <v>2</v>
      </c>
      <c r="M22" s="285">
        <v>3.53</v>
      </c>
      <c r="N22" s="102">
        <v>4.5</v>
      </c>
      <c r="O22" s="508"/>
      <c r="P22" s="65">
        <v>6.3</v>
      </c>
      <c r="Q22" s="285">
        <v>25.4</v>
      </c>
      <c r="R22" s="102">
        <v>32.299999999999997</v>
      </c>
      <c r="T22" s="499">
        <v>40</v>
      </c>
      <c r="U22" s="65">
        <v>20</v>
      </c>
      <c r="V22" s="496" t="s">
        <v>301</v>
      </c>
      <c r="W22" s="36"/>
      <c r="X22" s="36"/>
      <c r="Y22" s="40">
        <v>1.04</v>
      </c>
      <c r="Z22" s="40">
        <v>1.75</v>
      </c>
      <c r="AA22" s="40">
        <v>2.15</v>
      </c>
      <c r="AB22" s="40">
        <v>2.39</v>
      </c>
      <c r="AC22" s="40"/>
      <c r="AD22" s="102"/>
    </row>
    <row r="23" spans="2:30" ht="15" customHeight="1">
      <c r="B23" s="487"/>
      <c r="C23" s="31">
        <v>3.2</v>
      </c>
      <c r="D23" s="289">
        <v>4.43</v>
      </c>
      <c r="E23" s="105">
        <v>5.64</v>
      </c>
      <c r="F23" s="487"/>
      <c r="G23" s="31">
        <v>8</v>
      </c>
      <c r="H23" s="289">
        <v>30.2</v>
      </c>
      <c r="I23" s="105">
        <v>38.4</v>
      </c>
      <c r="K23" s="491"/>
      <c r="L23" s="65">
        <v>2.6</v>
      </c>
      <c r="M23" s="285">
        <v>4.5</v>
      </c>
      <c r="N23" s="102">
        <v>5.74</v>
      </c>
      <c r="O23" s="508"/>
      <c r="P23" s="65">
        <v>7.1</v>
      </c>
      <c r="Q23" s="285">
        <v>28.3</v>
      </c>
      <c r="R23" s="102">
        <v>36</v>
      </c>
      <c r="T23" s="503"/>
      <c r="U23" s="65">
        <v>25</v>
      </c>
      <c r="V23" s="497"/>
      <c r="W23" s="36"/>
      <c r="X23" s="36"/>
      <c r="Y23" s="40">
        <v>1.46</v>
      </c>
      <c r="Z23" s="40">
        <v>1.91</v>
      </c>
      <c r="AA23" s="40">
        <v>2.34</v>
      </c>
      <c r="AB23" s="40">
        <v>2.63</v>
      </c>
      <c r="AC23" s="40"/>
      <c r="AD23" s="102"/>
    </row>
    <row r="24" spans="2:30" ht="15" customHeight="1">
      <c r="B24" s="487"/>
      <c r="C24" s="31">
        <v>4</v>
      </c>
      <c r="D24" s="289">
        <v>5.35</v>
      </c>
      <c r="E24" s="105">
        <v>6.81</v>
      </c>
      <c r="F24" s="488"/>
      <c r="G24" s="31">
        <v>10</v>
      </c>
      <c r="H24" s="289">
        <v>36.6</v>
      </c>
      <c r="I24" s="105">
        <v>46.6</v>
      </c>
      <c r="K24" s="491"/>
      <c r="L24" s="65">
        <v>3.2</v>
      </c>
      <c r="M24" s="285">
        <v>5.43</v>
      </c>
      <c r="N24" s="102">
        <v>6.92</v>
      </c>
      <c r="O24" s="508"/>
      <c r="P24" s="65">
        <v>8</v>
      </c>
      <c r="Q24" s="285">
        <v>31.4</v>
      </c>
      <c r="R24" s="102">
        <v>40</v>
      </c>
      <c r="T24" s="503"/>
      <c r="U24" s="65">
        <v>30</v>
      </c>
      <c r="V24" s="497"/>
      <c r="W24" s="36"/>
      <c r="X24" s="36"/>
      <c r="Y24" s="40">
        <v>1.57</v>
      </c>
      <c r="Z24" s="40">
        <v>2.0699999999999998</v>
      </c>
      <c r="AA24" s="40">
        <v>2.54</v>
      </c>
      <c r="AB24" s="40">
        <v>2.86</v>
      </c>
      <c r="AC24" s="40"/>
      <c r="AD24" s="102"/>
    </row>
    <row r="25" spans="2:30" ht="15" customHeight="1">
      <c r="B25" s="488"/>
      <c r="C25" s="31">
        <v>5</v>
      </c>
      <c r="D25" s="289">
        <v>6.39</v>
      </c>
      <c r="E25" s="105">
        <v>8.14</v>
      </c>
      <c r="F25" s="486" t="s">
        <v>274</v>
      </c>
      <c r="G25" s="31">
        <v>4</v>
      </c>
      <c r="H25" s="289">
        <v>16.7</v>
      </c>
      <c r="I25" s="105">
        <v>21.2</v>
      </c>
      <c r="K25" s="491"/>
      <c r="L25" s="65">
        <v>4</v>
      </c>
      <c r="M25" s="285">
        <v>6.6</v>
      </c>
      <c r="N25" s="102">
        <v>8.41</v>
      </c>
      <c r="O25" s="508"/>
      <c r="P25" s="65">
        <v>10</v>
      </c>
      <c r="Q25" s="285">
        <v>38.1</v>
      </c>
      <c r="R25" s="102">
        <v>48.6</v>
      </c>
      <c r="T25" s="502"/>
      <c r="U25" s="65">
        <v>40</v>
      </c>
      <c r="V25" s="498"/>
      <c r="W25" s="36"/>
      <c r="X25" s="36"/>
      <c r="Y25" s="40">
        <v>1.81</v>
      </c>
      <c r="Z25" s="40">
        <v>2.38</v>
      </c>
      <c r="AA25" s="40">
        <v>2.93</v>
      </c>
      <c r="AB25" s="40">
        <v>3.33</v>
      </c>
      <c r="AC25" s="40">
        <v>4.25</v>
      </c>
      <c r="AD25" s="102"/>
    </row>
    <row r="26" spans="2:30" ht="15" customHeight="1">
      <c r="B26" s="486" t="s">
        <v>266</v>
      </c>
      <c r="C26" s="31">
        <v>1.6</v>
      </c>
      <c r="D26" s="289">
        <v>2.87</v>
      </c>
      <c r="E26" s="105">
        <v>3.65</v>
      </c>
      <c r="F26" s="487"/>
      <c r="G26" s="31">
        <v>5</v>
      </c>
      <c r="H26" s="289">
        <v>20.5</v>
      </c>
      <c r="I26" s="105">
        <v>26.1</v>
      </c>
      <c r="K26" s="492"/>
      <c r="L26" s="65">
        <v>5</v>
      </c>
      <c r="M26" s="285">
        <v>7.96</v>
      </c>
      <c r="N26" s="102">
        <v>10.1</v>
      </c>
      <c r="O26" s="490" t="s">
        <v>293</v>
      </c>
      <c r="P26" s="65">
        <v>4</v>
      </c>
      <c r="Q26" s="285">
        <v>17.899999999999999</v>
      </c>
      <c r="R26" s="102">
        <v>22.8</v>
      </c>
      <c r="T26" s="14">
        <v>45</v>
      </c>
      <c r="U26" s="65">
        <v>45</v>
      </c>
      <c r="V26" s="116" t="s">
        <v>301</v>
      </c>
      <c r="W26" s="36"/>
      <c r="X26" s="36"/>
      <c r="Y26" s="40">
        <v>2.0499999999999998</v>
      </c>
      <c r="Z26" s="40">
        <v>2.69</v>
      </c>
      <c r="AA26" s="40">
        <v>3.33</v>
      </c>
      <c r="AB26" s="40">
        <v>3.8</v>
      </c>
      <c r="AC26" s="40">
        <v>4.88</v>
      </c>
      <c r="AD26" s="102"/>
    </row>
    <row r="27" spans="2:30" ht="15" customHeight="1">
      <c r="B27" s="487"/>
      <c r="C27" s="31">
        <v>2</v>
      </c>
      <c r="D27" s="289">
        <v>3.53</v>
      </c>
      <c r="E27" s="105">
        <v>4.5</v>
      </c>
      <c r="F27" s="487"/>
      <c r="G27" s="31">
        <v>6.3</v>
      </c>
      <c r="H27" s="289">
        <v>25.4</v>
      </c>
      <c r="I27" s="105">
        <v>32.299999999999997</v>
      </c>
      <c r="K27" s="490" t="s">
        <v>286</v>
      </c>
      <c r="L27" s="65">
        <v>1.6</v>
      </c>
      <c r="M27" s="285">
        <v>3.37</v>
      </c>
      <c r="N27" s="102">
        <v>4.29</v>
      </c>
      <c r="O27" s="491"/>
      <c r="P27" s="65">
        <v>5</v>
      </c>
      <c r="Q27" s="285">
        <v>22.1</v>
      </c>
      <c r="R27" s="102">
        <v>28.1</v>
      </c>
      <c r="T27" s="499">
        <v>50</v>
      </c>
      <c r="U27" s="65">
        <v>20</v>
      </c>
      <c r="V27" s="496" t="s">
        <v>301</v>
      </c>
      <c r="W27" s="36"/>
      <c r="X27" s="36"/>
      <c r="Y27" s="40">
        <v>1.57</v>
      </c>
      <c r="Z27" s="40">
        <v>2.0699999999999998</v>
      </c>
      <c r="AA27" s="40">
        <v>2.54</v>
      </c>
      <c r="AB27" s="40">
        <v>2.86</v>
      </c>
      <c r="AC27" s="40"/>
      <c r="AD27" s="102"/>
    </row>
    <row r="28" spans="2:30" ht="15" customHeight="1">
      <c r="B28" s="487"/>
      <c r="C28" s="31">
        <v>2.6</v>
      </c>
      <c r="D28" s="289">
        <v>4.5</v>
      </c>
      <c r="E28" s="105">
        <v>5.74</v>
      </c>
      <c r="F28" s="487"/>
      <c r="G28" s="31">
        <v>7.1</v>
      </c>
      <c r="H28" s="289">
        <v>28.3</v>
      </c>
      <c r="I28" s="105">
        <v>36</v>
      </c>
      <c r="K28" s="491"/>
      <c r="L28" s="65">
        <v>2</v>
      </c>
      <c r="M28" s="285">
        <v>4.16</v>
      </c>
      <c r="N28" s="102">
        <v>5.3</v>
      </c>
      <c r="O28" s="491"/>
      <c r="P28" s="65">
        <v>6.3</v>
      </c>
      <c r="Q28" s="285">
        <v>27.4</v>
      </c>
      <c r="R28" s="102">
        <v>34.799999999999997</v>
      </c>
      <c r="T28" s="503"/>
      <c r="U28" s="65">
        <v>25</v>
      </c>
      <c r="V28" s="497"/>
      <c r="W28" s="36"/>
      <c r="X28" s="36"/>
      <c r="Y28" s="40">
        <v>1.69</v>
      </c>
      <c r="Z28" s="40">
        <v>2.2200000000000002</v>
      </c>
      <c r="AA28" s="40">
        <v>2.74</v>
      </c>
      <c r="AB28" s="40">
        <v>3.1</v>
      </c>
      <c r="AC28" s="40"/>
      <c r="AD28" s="102"/>
    </row>
    <row r="29" spans="2:30" ht="15" customHeight="1">
      <c r="B29" s="487"/>
      <c r="C29" s="31">
        <v>3.2</v>
      </c>
      <c r="D29" s="289">
        <v>5.43</v>
      </c>
      <c r="E29" s="105">
        <v>6.92</v>
      </c>
      <c r="F29" s="487"/>
      <c r="G29" s="31">
        <v>8</v>
      </c>
      <c r="H29" s="289">
        <v>31.4</v>
      </c>
      <c r="I29" s="105">
        <v>40</v>
      </c>
      <c r="K29" s="491"/>
      <c r="L29" s="65">
        <v>2.6</v>
      </c>
      <c r="M29" s="285">
        <v>5.32</v>
      </c>
      <c r="N29" s="102">
        <v>6.78</v>
      </c>
      <c r="O29" s="491"/>
      <c r="P29" s="65">
        <v>7.1</v>
      </c>
      <c r="Q29" s="285">
        <v>30.5</v>
      </c>
      <c r="R29" s="102">
        <v>38.9</v>
      </c>
      <c r="T29" s="503"/>
      <c r="U29" s="65">
        <v>30</v>
      </c>
      <c r="V29" s="497"/>
      <c r="W29" s="36"/>
      <c r="X29" s="36"/>
      <c r="Y29" s="40">
        <v>1.81</v>
      </c>
      <c r="Z29" s="40">
        <v>2.38</v>
      </c>
      <c r="AA29" s="40">
        <v>2.93</v>
      </c>
      <c r="AB29" s="40">
        <v>3.33</v>
      </c>
      <c r="AC29" s="40">
        <v>4.25</v>
      </c>
      <c r="AD29" s="102"/>
    </row>
    <row r="30" spans="2:30" ht="15" customHeight="1">
      <c r="B30" s="487"/>
      <c r="C30" s="31">
        <v>4</v>
      </c>
      <c r="D30" s="289">
        <v>6.6</v>
      </c>
      <c r="E30" s="105">
        <v>8.41</v>
      </c>
      <c r="F30" s="488"/>
      <c r="G30" s="31">
        <v>10</v>
      </c>
      <c r="H30" s="289">
        <v>38.1</v>
      </c>
      <c r="I30" s="105">
        <v>48.6</v>
      </c>
      <c r="K30" s="491"/>
      <c r="L30" s="65">
        <v>3.2</v>
      </c>
      <c r="M30" s="285">
        <v>6.44</v>
      </c>
      <c r="N30" s="102">
        <v>8.1999999999999993</v>
      </c>
      <c r="O30" s="491"/>
      <c r="P30" s="65">
        <v>8</v>
      </c>
      <c r="Q30" s="285">
        <v>33.9</v>
      </c>
      <c r="R30" s="102">
        <v>43.2</v>
      </c>
      <c r="T30" s="503"/>
      <c r="U30" s="65">
        <v>34</v>
      </c>
      <c r="V30" s="497"/>
      <c r="W30" s="36"/>
      <c r="X30" s="36"/>
      <c r="Y30" s="40">
        <v>1.9</v>
      </c>
      <c r="Z30" s="40">
        <v>2.5099999999999998</v>
      </c>
      <c r="AA30" s="40">
        <v>3.09</v>
      </c>
      <c r="AB30" s="40">
        <v>3.52</v>
      </c>
      <c r="AC30" s="40">
        <v>4.5</v>
      </c>
      <c r="AD30" s="102"/>
    </row>
    <row r="31" spans="2:30" ht="15" customHeight="1">
      <c r="B31" s="488"/>
      <c r="C31" s="31">
        <v>5</v>
      </c>
      <c r="D31" s="289">
        <v>7.96</v>
      </c>
      <c r="E31" s="105">
        <v>10.1</v>
      </c>
      <c r="F31" s="486" t="s">
        <v>275</v>
      </c>
      <c r="G31" s="31">
        <v>4</v>
      </c>
      <c r="H31" s="289">
        <v>17.899999999999999</v>
      </c>
      <c r="I31" s="105">
        <v>22.8</v>
      </c>
      <c r="K31" s="491"/>
      <c r="L31" s="65">
        <v>4</v>
      </c>
      <c r="M31" s="285">
        <v>7.86</v>
      </c>
      <c r="N31" s="102">
        <v>10</v>
      </c>
      <c r="O31" s="492"/>
      <c r="P31" s="65">
        <v>10</v>
      </c>
      <c r="Q31" s="285">
        <v>41.3</v>
      </c>
      <c r="R31" s="102">
        <v>52.6</v>
      </c>
      <c r="T31" s="503"/>
      <c r="U31" s="65">
        <v>40</v>
      </c>
      <c r="V31" s="497"/>
      <c r="W31" s="36"/>
      <c r="X31" s="36"/>
      <c r="Y31" s="40">
        <v>2.0499999999999998</v>
      </c>
      <c r="Z31" s="40">
        <v>2.69</v>
      </c>
      <c r="AA31" s="40">
        <v>3.33</v>
      </c>
      <c r="AB31" s="40">
        <v>3.8</v>
      </c>
      <c r="AC31" s="40">
        <v>4.88</v>
      </c>
      <c r="AD31" s="102"/>
    </row>
    <row r="32" spans="2:30" ht="15" customHeight="1">
      <c r="B32" s="486" t="s">
        <v>267</v>
      </c>
      <c r="C32" s="31">
        <v>1.6</v>
      </c>
      <c r="D32" s="289">
        <v>3.37</v>
      </c>
      <c r="E32" s="105">
        <v>4.29</v>
      </c>
      <c r="F32" s="487"/>
      <c r="G32" s="31">
        <v>5</v>
      </c>
      <c r="H32" s="289">
        <v>22.1</v>
      </c>
      <c r="I32" s="105">
        <v>28.1</v>
      </c>
      <c r="K32" s="492"/>
      <c r="L32" s="65">
        <v>5</v>
      </c>
      <c r="M32" s="285">
        <v>9.5299999999999994</v>
      </c>
      <c r="N32" s="102">
        <v>12.1</v>
      </c>
      <c r="O32" s="490" t="s">
        <v>294</v>
      </c>
      <c r="P32" s="65">
        <v>4</v>
      </c>
      <c r="Q32" s="285">
        <v>19.2</v>
      </c>
      <c r="R32" s="102">
        <v>24.4</v>
      </c>
      <c r="T32" s="502"/>
      <c r="U32" s="65">
        <v>50</v>
      </c>
      <c r="V32" s="498"/>
      <c r="W32" s="36"/>
      <c r="X32" s="36"/>
      <c r="Y32" s="40">
        <v>2.2799999999999998</v>
      </c>
      <c r="Z32" s="40">
        <v>3.01</v>
      </c>
      <c r="AA32" s="40">
        <v>3.72</v>
      </c>
      <c r="AB32" s="40">
        <v>4.28</v>
      </c>
      <c r="AC32" s="40">
        <v>5.51</v>
      </c>
      <c r="AD32" s="102"/>
    </row>
    <row r="33" spans="2:30" ht="15" customHeight="1">
      <c r="B33" s="487"/>
      <c r="C33" s="31">
        <v>2</v>
      </c>
      <c r="D33" s="289">
        <v>4.16</v>
      </c>
      <c r="E33" s="105">
        <v>5.3</v>
      </c>
      <c r="F33" s="487"/>
      <c r="G33" s="31">
        <v>6.3</v>
      </c>
      <c r="H33" s="289">
        <v>27.4</v>
      </c>
      <c r="I33" s="105">
        <v>34.799999999999997</v>
      </c>
      <c r="K33" s="490" t="s">
        <v>287</v>
      </c>
      <c r="L33" s="65">
        <v>2</v>
      </c>
      <c r="M33" s="285">
        <v>4.79</v>
      </c>
      <c r="N33" s="102">
        <v>6.1</v>
      </c>
      <c r="O33" s="491"/>
      <c r="P33" s="65">
        <v>5</v>
      </c>
      <c r="Q33" s="285">
        <v>23.7</v>
      </c>
      <c r="R33" s="102">
        <v>30.1</v>
      </c>
      <c r="T33" s="14">
        <v>55</v>
      </c>
      <c r="U33" s="65">
        <v>34</v>
      </c>
      <c r="V33" s="116" t="s">
        <v>302</v>
      </c>
      <c r="W33" s="36"/>
      <c r="X33" s="36"/>
      <c r="Y33" s="40">
        <v>2.02</v>
      </c>
      <c r="Z33" s="40">
        <v>2.66</v>
      </c>
      <c r="AA33" s="40">
        <v>3.29</v>
      </c>
      <c r="AB33" s="40">
        <v>3.76</v>
      </c>
      <c r="AC33" s="40">
        <v>4.82</v>
      </c>
      <c r="AD33" s="102"/>
    </row>
    <row r="34" spans="2:30" ht="15" customHeight="1">
      <c r="B34" s="487"/>
      <c r="C34" s="31">
        <v>2.6</v>
      </c>
      <c r="D34" s="289">
        <v>5.32</v>
      </c>
      <c r="E34" s="105">
        <v>6.78</v>
      </c>
      <c r="F34" s="487"/>
      <c r="G34" s="31">
        <v>7.1</v>
      </c>
      <c r="H34" s="289">
        <v>30.5</v>
      </c>
      <c r="I34" s="105">
        <v>38.9</v>
      </c>
      <c r="K34" s="491"/>
      <c r="L34" s="65">
        <v>2.6</v>
      </c>
      <c r="M34" s="285">
        <v>6.14</v>
      </c>
      <c r="N34" s="102">
        <v>7.82</v>
      </c>
      <c r="O34" s="491"/>
      <c r="P34" s="65">
        <v>6.3</v>
      </c>
      <c r="Q34" s="285">
        <v>29.3</v>
      </c>
      <c r="R34" s="102">
        <v>37.4</v>
      </c>
      <c r="T34" s="499">
        <v>60</v>
      </c>
      <c r="U34" s="65">
        <v>20</v>
      </c>
      <c r="V34" s="470" t="s">
        <v>302</v>
      </c>
      <c r="W34" s="36"/>
      <c r="X34" s="36"/>
      <c r="Y34" s="40"/>
      <c r="Z34" s="40">
        <v>2.38</v>
      </c>
      <c r="AA34" s="40">
        <v>2.93</v>
      </c>
      <c r="AB34" s="40">
        <v>3.33</v>
      </c>
      <c r="AC34" s="40"/>
      <c r="AD34" s="102"/>
    </row>
    <row r="35" spans="2:30" ht="15" customHeight="1">
      <c r="B35" s="487"/>
      <c r="C35" s="31">
        <v>3.2</v>
      </c>
      <c r="D35" s="289">
        <v>6.44</v>
      </c>
      <c r="E35" s="105">
        <v>8.1999999999999993</v>
      </c>
      <c r="F35" s="487"/>
      <c r="G35" s="31">
        <v>8</v>
      </c>
      <c r="H35" s="289">
        <v>33.9</v>
      </c>
      <c r="I35" s="105">
        <v>43.2</v>
      </c>
      <c r="K35" s="491"/>
      <c r="L35" s="65">
        <v>3.2</v>
      </c>
      <c r="M35" s="285">
        <v>7.44</v>
      </c>
      <c r="N35" s="102">
        <v>9.48</v>
      </c>
      <c r="O35" s="491"/>
      <c r="P35" s="65">
        <v>7.1</v>
      </c>
      <c r="Q35" s="285">
        <v>32.700000000000003</v>
      </c>
      <c r="R35" s="102">
        <v>41.7</v>
      </c>
      <c r="T35" s="503"/>
      <c r="U35" s="65">
        <v>30</v>
      </c>
      <c r="V35" s="471"/>
      <c r="W35" s="36"/>
      <c r="X35" s="36"/>
      <c r="Y35" s="40"/>
      <c r="Z35" s="40">
        <v>2.69</v>
      </c>
      <c r="AA35" s="40">
        <v>3.33</v>
      </c>
      <c r="AB35" s="40">
        <v>3.8</v>
      </c>
      <c r="AC35" s="40">
        <v>4.88</v>
      </c>
      <c r="AD35" s="102"/>
    </row>
    <row r="36" spans="2:30" ht="15" customHeight="1">
      <c r="B36" s="487"/>
      <c r="C36" s="31">
        <v>4</v>
      </c>
      <c r="D36" s="289">
        <v>7.86</v>
      </c>
      <c r="E36" s="105">
        <v>10</v>
      </c>
      <c r="F36" s="488"/>
      <c r="G36" s="31">
        <v>10</v>
      </c>
      <c r="H36" s="289">
        <v>41.3</v>
      </c>
      <c r="I36" s="105">
        <v>52.6</v>
      </c>
      <c r="K36" s="491"/>
      <c r="L36" s="65">
        <v>4</v>
      </c>
      <c r="M36" s="285">
        <v>9.11</v>
      </c>
      <c r="N36" s="102">
        <v>11.6</v>
      </c>
      <c r="O36" s="491"/>
      <c r="P36" s="65">
        <v>8</v>
      </c>
      <c r="Q36" s="285">
        <v>36.5</v>
      </c>
      <c r="R36" s="102">
        <v>46.4</v>
      </c>
      <c r="T36" s="503"/>
      <c r="U36" s="65">
        <v>40</v>
      </c>
      <c r="V36" s="471"/>
      <c r="W36" s="36"/>
      <c r="X36" s="36"/>
      <c r="Y36" s="40"/>
      <c r="Z36" s="40">
        <v>3.01</v>
      </c>
      <c r="AA36" s="40">
        <v>3.72</v>
      </c>
      <c r="AB36" s="40">
        <v>4.28</v>
      </c>
      <c r="AC36" s="40">
        <v>5.51</v>
      </c>
      <c r="AD36" s="102"/>
    </row>
    <row r="37" spans="2:30" ht="15" customHeight="1">
      <c r="B37" s="487"/>
      <c r="C37" s="31">
        <v>5</v>
      </c>
      <c r="D37" s="289">
        <v>9.5299999999999994</v>
      </c>
      <c r="E37" s="105">
        <v>12.1</v>
      </c>
      <c r="F37" s="486" t="s">
        <v>276</v>
      </c>
      <c r="G37" s="31">
        <v>4</v>
      </c>
      <c r="H37" s="289">
        <v>19.2</v>
      </c>
      <c r="I37" s="105">
        <v>24.4</v>
      </c>
      <c r="K37" s="492"/>
      <c r="L37" s="65">
        <v>5</v>
      </c>
      <c r="M37" s="285">
        <v>11.1</v>
      </c>
      <c r="N37" s="102">
        <v>14.1</v>
      </c>
      <c r="O37" s="492"/>
      <c r="P37" s="65">
        <v>10</v>
      </c>
      <c r="Q37" s="285">
        <v>44.4</v>
      </c>
      <c r="R37" s="102">
        <v>56.6</v>
      </c>
      <c r="T37" s="503"/>
      <c r="U37" s="65">
        <v>50</v>
      </c>
      <c r="V37" s="471"/>
      <c r="W37" s="36"/>
      <c r="X37" s="36"/>
      <c r="Y37" s="40"/>
      <c r="Z37" s="40">
        <v>3.32</v>
      </c>
      <c r="AA37" s="40">
        <v>4.1100000000000003</v>
      </c>
      <c r="AB37" s="40">
        <v>4.75</v>
      </c>
      <c r="AC37" s="40">
        <v>6.14</v>
      </c>
      <c r="AD37" s="102"/>
    </row>
    <row r="38" spans="2:30" ht="15" customHeight="1">
      <c r="B38" s="486" t="s">
        <v>268</v>
      </c>
      <c r="C38" s="31">
        <v>2</v>
      </c>
      <c r="D38" s="289">
        <v>4.79</v>
      </c>
      <c r="E38" s="105">
        <v>6.1</v>
      </c>
      <c r="F38" s="487"/>
      <c r="G38" s="31">
        <v>5</v>
      </c>
      <c r="H38" s="289">
        <v>23.7</v>
      </c>
      <c r="I38" s="105">
        <v>30.1</v>
      </c>
      <c r="K38" s="490" t="s">
        <v>288</v>
      </c>
      <c r="L38" s="65">
        <v>2</v>
      </c>
      <c r="M38" s="285">
        <v>5.42</v>
      </c>
      <c r="N38" s="102">
        <v>6.9</v>
      </c>
      <c r="O38" s="490" t="s">
        <v>295</v>
      </c>
      <c r="P38" s="65">
        <v>4</v>
      </c>
      <c r="Q38" s="285">
        <v>21.7</v>
      </c>
      <c r="R38" s="102">
        <v>27.6</v>
      </c>
      <c r="T38" s="502"/>
      <c r="U38" s="65">
        <v>60</v>
      </c>
      <c r="V38" s="472"/>
      <c r="W38" s="36"/>
      <c r="X38" s="36"/>
      <c r="Y38" s="40"/>
      <c r="Z38" s="40">
        <v>3.64</v>
      </c>
      <c r="AA38" s="40">
        <v>4.5</v>
      </c>
      <c r="AB38" s="40">
        <v>5.22</v>
      </c>
      <c r="AC38" s="40">
        <v>6.76</v>
      </c>
      <c r="AD38" s="102">
        <v>8.1300000000000008</v>
      </c>
    </row>
    <row r="39" spans="2:30" ht="15" customHeight="1">
      <c r="B39" s="487"/>
      <c r="C39" s="31">
        <v>2.6</v>
      </c>
      <c r="D39" s="289">
        <v>6.14</v>
      </c>
      <c r="E39" s="105">
        <v>7.82</v>
      </c>
      <c r="F39" s="487"/>
      <c r="G39" s="31">
        <v>6.3</v>
      </c>
      <c r="H39" s="289">
        <v>29.3</v>
      </c>
      <c r="I39" s="105">
        <v>37.4</v>
      </c>
      <c r="K39" s="491"/>
      <c r="L39" s="65">
        <v>2.6</v>
      </c>
      <c r="M39" s="285">
        <v>6.95</v>
      </c>
      <c r="N39" s="102">
        <v>8.86</v>
      </c>
      <c r="O39" s="491"/>
      <c r="P39" s="65">
        <v>5</v>
      </c>
      <c r="Q39" s="285">
        <v>26.8</v>
      </c>
      <c r="R39" s="102">
        <v>34.1</v>
      </c>
      <c r="T39" s="499">
        <v>70</v>
      </c>
      <c r="U39" s="65">
        <v>40</v>
      </c>
      <c r="V39" s="496" t="s">
        <v>303</v>
      </c>
      <c r="W39" s="36"/>
      <c r="X39" s="36"/>
      <c r="Y39" s="40"/>
      <c r="Z39" s="40">
        <v>3.32</v>
      </c>
      <c r="AA39" s="40">
        <v>4.1100000000000003</v>
      </c>
      <c r="AB39" s="40">
        <v>4.75</v>
      </c>
      <c r="AC39" s="40">
        <v>6.14</v>
      </c>
      <c r="AD39" s="102"/>
    </row>
    <row r="40" spans="2:30" ht="15" customHeight="1">
      <c r="B40" s="487"/>
      <c r="C40" s="31">
        <v>3.2</v>
      </c>
      <c r="D40" s="289">
        <v>7.44</v>
      </c>
      <c r="E40" s="105">
        <v>9.48</v>
      </c>
      <c r="F40" s="487"/>
      <c r="G40" s="31">
        <v>7.1</v>
      </c>
      <c r="H40" s="289">
        <v>32.700000000000003</v>
      </c>
      <c r="I40" s="105">
        <v>41.7</v>
      </c>
      <c r="K40" s="491"/>
      <c r="L40" s="65">
        <v>3.2</v>
      </c>
      <c r="M40" s="285">
        <v>8.4499999999999993</v>
      </c>
      <c r="N40" s="102">
        <v>10.8</v>
      </c>
      <c r="O40" s="491"/>
      <c r="P40" s="65">
        <v>6.3</v>
      </c>
      <c r="Q40" s="285">
        <v>33.299999999999997</v>
      </c>
      <c r="R40" s="102">
        <v>42.4</v>
      </c>
      <c r="T40" s="502"/>
      <c r="U40" s="65">
        <v>70</v>
      </c>
      <c r="V40" s="472"/>
      <c r="W40" s="36"/>
      <c r="X40" s="36"/>
      <c r="Y40" s="40"/>
      <c r="Z40" s="40">
        <v>4.26</v>
      </c>
      <c r="AA40" s="40">
        <v>5.29</v>
      </c>
      <c r="AB40" s="40">
        <v>6.16</v>
      </c>
      <c r="AC40" s="40">
        <v>8.02</v>
      </c>
      <c r="AD40" s="102">
        <v>9.6999999999999993</v>
      </c>
    </row>
    <row r="41" spans="2:30" ht="15" customHeight="1">
      <c r="B41" s="487"/>
      <c r="C41" s="31">
        <v>4</v>
      </c>
      <c r="D41" s="289">
        <v>9.11</v>
      </c>
      <c r="E41" s="105">
        <v>11.6</v>
      </c>
      <c r="F41" s="487"/>
      <c r="G41" s="31">
        <v>8</v>
      </c>
      <c r="H41" s="289">
        <v>36.5</v>
      </c>
      <c r="I41" s="105">
        <v>46.4</v>
      </c>
      <c r="K41" s="491"/>
      <c r="L41" s="65">
        <v>4</v>
      </c>
      <c r="M41" s="285">
        <v>10.4</v>
      </c>
      <c r="N41" s="102">
        <v>13.2</v>
      </c>
      <c r="O41" s="491"/>
      <c r="P41" s="65">
        <v>7.1</v>
      </c>
      <c r="Q41" s="285">
        <v>37.200000000000003</v>
      </c>
      <c r="R41" s="102">
        <v>47.4</v>
      </c>
      <c r="T41" s="499">
        <v>80</v>
      </c>
      <c r="U41" s="65">
        <v>20</v>
      </c>
      <c r="V41" s="496" t="s">
        <v>303</v>
      </c>
      <c r="W41" s="36"/>
      <c r="X41" s="36"/>
      <c r="Y41" s="40"/>
      <c r="Z41" s="40">
        <v>3.01</v>
      </c>
      <c r="AA41" s="40">
        <v>3.72</v>
      </c>
      <c r="AB41" s="40">
        <v>4.28</v>
      </c>
      <c r="AC41" s="40"/>
      <c r="AD41" s="102"/>
    </row>
    <row r="42" spans="2:30" ht="15" customHeight="1">
      <c r="B42" s="488"/>
      <c r="C42" s="31">
        <v>5</v>
      </c>
      <c r="D42" s="289">
        <v>11.1</v>
      </c>
      <c r="E42" s="105">
        <v>14.1</v>
      </c>
      <c r="F42" s="488"/>
      <c r="G42" s="31">
        <v>10</v>
      </c>
      <c r="H42" s="289">
        <v>44.4</v>
      </c>
      <c r="I42" s="105">
        <v>56.6</v>
      </c>
      <c r="K42" s="491"/>
      <c r="L42" s="65">
        <v>5</v>
      </c>
      <c r="M42" s="285">
        <v>12.7</v>
      </c>
      <c r="N42" s="102">
        <v>16.100000000000001</v>
      </c>
      <c r="O42" s="491"/>
      <c r="P42" s="65">
        <v>8</v>
      </c>
      <c r="Q42" s="285">
        <v>41.5</v>
      </c>
      <c r="R42" s="102">
        <v>52.8</v>
      </c>
      <c r="T42" s="503"/>
      <c r="U42" s="65">
        <v>30</v>
      </c>
      <c r="V42" s="497"/>
      <c r="W42" s="36"/>
      <c r="X42" s="36"/>
      <c r="Y42" s="40"/>
      <c r="Z42" s="40">
        <v>3.32</v>
      </c>
      <c r="AA42" s="40">
        <v>4.1100000000000003</v>
      </c>
      <c r="AB42" s="40">
        <v>4.75</v>
      </c>
      <c r="AC42" s="40"/>
      <c r="AD42" s="102"/>
    </row>
    <row r="43" spans="2:30" ht="15" customHeight="1">
      <c r="B43" s="486" t="s">
        <v>269</v>
      </c>
      <c r="C43" s="31">
        <v>2</v>
      </c>
      <c r="D43" s="289">
        <v>5.42</v>
      </c>
      <c r="E43" s="105">
        <v>6.9</v>
      </c>
      <c r="F43" s="486" t="s">
        <v>277</v>
      </c>
      <c r="G43" s="31">
        <v>4</v>
      </c>
      <c r="H43" s="289">
        <v>21</v>
      </c>
      <c r="I43" s="105">
        <v>26.8</v>
      </c>
      <c r="K43" s="492"/>
      <c r="L43" s="65">
        <v>6.3</v>
      </c>
      <c r="M43" s="285">
        <v>15.5</v>
      </c>
      <c r="N43" s="102">
        <v>19.7</v>
      </c>
      <c r="O43" s="492"/>
      <c r="P43" s="65">
        <v>10</v>
      </c>
      <c r="Q43" s="285">
        <v>50.7</v>
      </c>
      <c r="R43" s="102">
        <v>64.599999999999994</v>
      </c>
      <c r="T43" s="503"/>
      <c r="U43" s="65">
        <v>40</v>
      </c>
      <c r="V43" s="497"/>
      <c r="W43" s="36"/>
      <c r="X43" s="36"/>
      <c r="Y43" s="40"/>
      <c r="Z43" s="40">
        <v>3.64</v>
      </c>
      <c r="AA43" s="40">
        <v>4.5</v>
      </c>
      <c r="AB43" s="40">
        <v>5.22</v>
      </c>
      <c r="AC43" s="40">
        <v>6.76</v>
      </c>
      <c r="AD43" s="102">
        <v>8.1300000000000008</v>
      </c>
    </row>
    <row r="44" spans="2:30" ht="15" customHeight="1">
      <c r="B44" s="487"/>
      <c r="C44" s="31">
        <v>2.6</v>
      </c>
      <c r="D44" s="289">
        <v>6.95</v>
      </c>
      <c r="E44" s="105">
        <v>8.86</v>
      </c>
      <c r="F44" s="487"/>
      <c r="G44" s="31">
        <v>5</v>
      </c>
      <c r="H44" s="289">
        <v>26</v>
      </c>
      <c r="I44" s="105">
        <v>33.1</v>
      </c>
      <c r="K44" s="490" t="s">
        <v>289</v>
      </c>
      <c r="L44" s="65">
        <v>2.6</v>
      </c>
      <c r="M44" s="285">
        <v>7.77</v>
      </c>
      <c r="N44" s="102">
        <v>9.9</v>
      </c>
      <c r="O44" s="490" t="s">
        <v>295</v>
      </c>
      <c r="P44" s="65">
        <v>4</v>
      </c>
      <c r="Q44" s="285">
        <v>24.2</v>
      </c>
      <c r="R44" s="102">
        <v>30.8</v>
      </c>
      <c r="T44" s="503"/>
      <c r="U44" s="65">
        <v>50</v>
      </c>
      <c r="V44" s="497"/>
      <c r="W44" s="36"/>
      <c r="X44" s="36"/>
      <c r="Y44" s="40"/>
      <c r="Z44" s="40">
        <v>3.95</v>
      </c>
      <c r="AA44" s="40">
        <v>4.9000000000000004</v>
      </c>
      <c r="AB44" s="40">
        <v>5.69</v>
      </c>
      <c r="AC44" s="40">
        <v>7.39</v>
      </c>
      <c r="AD44" s="102">
        <v>8.91</v>
      </c>
    </row>
    <row r="45" spans="2:30" ht="15" customHeight="1">
      <c r="B45" s="487"/>
      <c r="C45" s="31">
        <v>3.2</v>
      </c>
      <c r="D45" s="289">
        <v>8.4499999999999993</v>
      </c>
      <c r="E45" s="105">
        <v>10.8</v>
      </c>
      <c r="F45" s="487"/>
      <c r="G45" s="31">
        <v>6.3</v>
      </c>
      <c r="H45" s="289">
        <v>32.299999999999997</v>
      </c>
      <c r="I45" s="105">
        <v>41.1</v>
      </c>
      <c r="K45" s="491"/>
      <c r="L45" s="65">
        <v>3.2</v>
      </c>
      <c r="M45" s="285">
        <v>9.4499999999999993</v>
      </c>
      <c r="N45" s="102">
        <v>12</v>
      </c>
      <c r="O45" s="491"/>
      <c r="P45" s="65">
        <v>5</v>
      </c>
      <c r="Q45" s="285">
        <v>29.9</v>
      </c>
      <c r="R45" s="102">
        <v>38.1</v>
      </c>
      <c r="T45" s="503"/>
      <c r="U45" s="65">
        <v>60</v>
      </c>
      <c r="V45" s="497"/>
      <c r="W45" s="36"/>
      <c r="X45" s="36"/>
      <c r="Y45" s="40"/>
      <c r="Z45" s="40">
        <v>4.26</v>
      </c>
      <c r="AA45" s="40">
        <v>5.29</v>
      </c>
      <c r="AB45" s="40">
        <v>6.16</v>
      </c>
      <c r="AC45" s="40">
        <v>8.02</v>
      </c>
      <c r="AD45" s="102">
        <v>9.6999999999999993</v>
      </c>
    </row>
    <row r="46" spans="2:30" ht="15" customHeight="1">
      <c r="B46" s="487"/>
      <c r="C46" s="31">
        <v>4</v>
      </c>
      <c r="D46" s="289">
        <v>10.4</v>
      </c>
      <c r="E46" s="105">
        <v>13.2</v>
      </c>
      <c r="F46" s="487"/>
      <c r="G46" s="31">
        <v>7.1</v>
      </c>
      <c r="H46" s="289">
        <v>36.1</v>
      </c>
      <c r="I46" s="105">
        <v>46</v>
      </c>
      <c r="K46" s="491"/>
      <c r="L46" s="65">
        <v>4</v>
      </c>
      <c r="M46" s="285">
        <v>11.6</v>
      </c>
      <c r="N46" s="102">
        <v>14.8</v>
      </c>
      <c r="O46" s="491"/>
      <c r="P46" s="65">
        <v>6.3</v>
      </c>
      <c r="Q46" s="285">
        <v>37.200000000000003</v>
      </c>
      <c r="R46" s="102">
        <v>47.4</v>
      </c>
      <c r="T46" s="502"/>
      <c r="U46" s="65">
        <v>80</v>
      </c>
      <c r="V46" s="498"/>
      <c r="W46" s="36"/>
      <c r="X46" s="36"/>
      <c r="Y46" s="40"/>
      <c r="Z46" s="40">
        <v>4.8899999999999997</v>
      </c>
      <c r="AA46" s="40">
        <v>6.07</v>
      </c>
      <c r="AB46" s="40">
        <v>7.1</v>
      </c>
      <c r="AC46" s="40">
        <v>9.2799999999999994</v>
      </c>
      <c r="AD46" s="102">
        <v>11.3</v>
      </c>
    </row>
    <row r="47" spans="2:30" ht="15" customHeight="1">
      <c r="B47" s="487"/>
      <c r="C47" s="31">
        <v>5</v>
      </c>
      <c r="D47" s="289">
        <v>12.7</v>
      </c>
      <c r="E47" s="105">
        <v>16.100000000000001</v>
      </c>
      <c r="F47" s="487"/>
      <c r="G47" s="31">
        <v>8</v>
      </c>
      <c r="H47" s="289">
        <v>40.200000000000003</v>
      </c>
      <c r="I47" s="105">
        <v>51.2</v>
      </c>
      <c r="K47" s="491"/>
      <c r="L47" s="65">
        <v>5</v>
      </c>
      <c r="M47" s="285">
        <v>14.2</v>
      </c>
      <c r="N47" s="102">
        <v>18.100000000000001</v>
      </c>
      <c r="O47" s="491"/>
      <c r="P47" s="65">
        <v>7.1</v>
      </c>
      <c r="Q47" s="285">
        <v>41.6</v>
      </c>
      <c r="R47" s="102">
        <v>53.1</v>
      </c>
      <c r="T47" s="14">
        <v>90</v>
      </c>
      <c r="U47" s="65">
        <v>90</v>
      </c>
      <c r="V47" s="116" t="s">
        <v>304</v>
      </c>
      <c r="W47" s="36"/>
      <c r="X47" s="36"/>
      <c r="Y47" s="40"/>
      <c r="Z47" s="40">
        <v>5.52</v>
      </c>
      <c r="AA47" s="40">
        <v>6.86</v>
      </c>
      <c r="AB47" s="40">
        <v>8.0399999999999991</v>
      </c>
      <c r="AC47" s="40">
        <v>10.5</v>
      </c>
      <c r="AD47" s="102">
        <v>12.8</v>
      </c>
    </row>
    <row r="48" spans="2:30" ht="15" customHeight="1">
      <c r="B48" s="488"/>
      <c r="C48" s="31">
        <v>6.3</v>
      </c>
      <c r="D48" s="289">
        <v>15.5</v>
      </c>
      <c r="E48" s="105">
        <v>19.7</v>
      </c>
      <c r="F48" s="488"/>
      <c r="G48" s="31">
        <v>10</v>
      </c>
      <c r="H48" s="289">
        <v>49.1</v>
      </c>
      <c r="I48" s="105">
        <v>62.6</v>
      </c>
      <c r="K48" s="491"/>
      <c r="L48" s="65">
        <v>6.3</v>
      </c>
      <c r="M48" s="285">
        <v>17.5</v>
      </c>
      <c r="N48" s="102">
        <v>22.2</v>
      </c>
      <c r="O48" s="491"/>
      <c r="P48" s="65">
        <v>8</v>
      </c>
      <c r="Q48" s="285">
        <v>46.5</v>
      </c>
      <c r="R48" s="102">
        <v>59.2</v>
      </c>
      <c r="T48" s="499">
        <v>100</v>
      </c>
      <c r="U48" s="65">
        <v>40</v>
      </c>
      <c r="V48" s="496" t="s">
        <v>305</v>
      </c>
      <c r="W48" s="36"/>
      <c r="X48" s="36"/>
      <c r="Y48" s="40"/>
      <c r="Z48" s="40">
        <v>4.26</v>
      </c>
      <c r="AA48" s="40">
        <v>5.29</v>
      </c>
      <c r="AB48" s="40">
        <v>6.16</v>
      </c>
      <c r="AC48" s="40">
        <v>8.02</v>
      </c>
      <c r="AD48" s="102">
        <v>9.6999999999999993</v>
      </c>
    </row>
    <row r="49" spans="2:30" ht="15" customHeight="1">
      <c r="B49" s="486" t="s">
        <v>270</v>
      </c>
      <c r="C49" s="31">
        <v>2.6</v>
      </c>
      <c r="D49" s="289">
        <v>7.77</v>
      </c>
      <c r="E49" s="105">
        <v>9.9</v>
      </c>
      <c r="F49" s="493" t="s">
        <v>278</v>
      </c>
      <c r="G49" s="31">
        <v>4</v>
      </c>
      <c r="H49" s="289">
        <v>21.7</v>
      </c>
      <c r="I49" s="105">
        <v>27.6</v>
      </c>
      <c r="K49" s="492"/>
      <c r="L49" s="65">
        <v>7.1</v>
      </c>
      <c r="M49" s="285">
        <v>19.399999999999999</v>
      </c>
      <c r="N49" s="102">
        <v>24.7</v>
      </c>
      <c r="O49" s="491"/>
      <c r="P49" s="65">
        <v>10</v>
      </c>
      <c r="Q49" s="285">
        <v>57</v>
      </c>
      <c r="R49" s="102">
        <v>72.599999999999994</v>
      </c>
      <c r="T49" s="503"/>
      <c r="U49" s="65">
        <v>50</v>
      </c>
      <c r="V49" s="497"/>
      <c r="W49" s="36"/>
      <c r="X49" s="36"/>
      <c r="Y49" s="40"/>
      <c r="Z49" s="40">
        <v>4.58</v>
      </c>
      <c r="AA49" s="40">
        <v>5.68</v>
      </c>
      <c r="AB49" s="40">
        <v>6.63</v>
      </c>
      <c r="AC49" s="40">
        <v>8.65</v>
      </c>
      <c r="AD49" s="102">
        <v>10.5</v>
      </c>
    </row>
    <row r="50" spans="2:30" ht="15" customHeight="1">
      <c r="B50" s="487"/>
      <c r="C50" s="31">
        <v>3.2</v>
      </c>
      <c r="D50" s="289">
        <v>9.4499999999999993</v>
      </c>
      <c r="E50" s="105">
        <v>12</v>
      </c>
      <c r="F50" s="493"/>
      <c r="G50" s="31">
        <v>5</v>
      </c>
      <c r="H50" s="289">
        <v>26.8</v>
      </c>
      <c r="I50" s="105">
        <v>34.1</v>
      </c>
      <c r="K50" s="490" t="s">
        <v>290</v>
      </c>
      <c r="L50" s="65">
        <v>3.2</v>
      </c>
      <c r="M50" s="285">
        <v>11</v>
      </c>
      <c r="N50" s="102">
        <v>14</v>
      </c>
      <c r="O50" s="492"/>
      <c r="P50" s="65">
        <v>12.5</v>
      </c>
      <c r="Q50" s="285">
        <v>69.400000000000006</v>
      </c>
      <c r="R50" s="102">
        <v>88.4</v>
      </c>
      <c r="T50" s="503"/>
      <c r="U50" s="65">
        <v>60</v>
      </c>
      <c r="V50" s="497"/>
      <c r="W50" s="36"/>
      <c r="X50" s="36"/>
      <c r="Y50" s="40"/>
      <c r="Z50" s="40">
        <v>4.8899999999999997</v>
      </c>
      <c r="AA50" s="40">
        <v>6.07</v>
      </c>
      <c r="AB50" s="40">
        <v>7.1</v>
      </c>
      <c r="AC50" s="40">
        <v>9.2799999999999994</v>
      </c>
      <c r="AD50" s="102">
        <v>11.3</v>
      </c>
    </row>
    <row r="51" spans="2:30" ht="15" customHeight="1">
      <c r="B51" s="487"/>
      <c r="C51" s="31">
        <v>4</v>
      </c>
      <c r="D51" s="289">
        <v>10.6</v>
      </c>
      <c r="E51" s="105">
        <v>14.8</v>
      </c>
      <c r="F51" s="493"/>
      <c r="G51" s="31">
        <v>6.3</v>
      </c>
      <c r="H51" s="289">
        <v>33.299999999999997</v>
      </c>
      <c r="I51" s="105">
        <v>42.4</v>
      </c>
      <c r="K51" s="491"/>
      <c r="L51" s="65">
        <v>4</v>
      </c>
      <c r="M51" s="285">
        <v>13.5</v>
      </c>
      <c r="N51" s="102">
        <v>17.2</v>
      </c>
      <c r="O51" s="32"/>
      <c r="P51" s="117"/>
      <c r="Q51" s="117"/>
      <c r="R51" s="118"/>
      <c r="T51" s="503"/>
      <c r="U51" s="65">
        <v>80</v>
      </c>
      <c r="V51" s="497"/>
      <c r="W51" s="36"/>
      <c r="X51" s="36"/>
      <c r="Y51" s="40"/>
      <c r="Z51" s="40">
        <v>5.52</v>
      </c>
      <c r="AA51" s="40">
        <v>6.86</v>
      </c>
      <c r="AB51" s="40">
        <v>8.0399999999999991</v>
      </c>
      <c r="AC51" s="40">
        <v>10.5</v>
      </c>
      <c r="AD51" s="102">
        <v>12.8</v>
      </c>
    </row>
    <row r="52" spans="2:30" ht="15" customHeight="1">
      <c r="B52" s="487"/>
      <c r="C52" s="31">
        <v>5</v>
      </c>
      <c r="D52" s="289">
        <v>14.2</v>
      </c>
      <c r="E52" s="105">
        <v>18.100000000000001</v>
      </c>
      <c r="F52" s="493"/>
      <c r="G52" s="31">
        <v>7.1</v>
      </c>
      <c r="H52" s="289">
        <v>37.200000000000003</v>
      </c>
      <c r="I52" s="105">
        <v>47.4</v>
      </c>
      <c r="K52" s="491"/>
      <c r="L52" s="65">
        <v>5</v>
      </c>
      <c r="M52" s="285">
        <v>16.600000000000001</v>
      </c>
      <c r="N52" s="102">
        <v>21.1</v>
      </c>
      <c r="O52" s="119"/>
      <c r="P52" s="120"/>
      <c r="Q52" s="120"/>
      <c r="R52" s="121"/>
      <c r="T52" s="502"/>
      <c r="U52" s="65">
        <v>100</v>
      </c>
      <c r="V52" s="498"/>
      <c r="W52" s="36"/>
      <c r="X52" s="36"/>
      <c r="Y52" s="40"/>
      <c r="Z52" s="40">
        <v>6.15</v>
      </c>
      <c r="AA52" s="40">
        <v>7.64</v>
      </c>
      <c r="AB52" s="40">
        <v>8.99</v>
      </c>
      <c r="AC52" s="40">
        <v>11.8</v>
      </c>
      <c r="AD52" s="102">
        <v>14.4</v>
      </c>
    </row>
    <row r="53" spans="2:30" ht="15" customHeight="1">
      <c r="B53" s="487"/>
      <c r="C53" s="31">
        <v>6.3</v>
      </c>
      <c r="D53" s="289">
        <v>17.5</v>
      </c>
      <c r="E53" s="105">
        <v>22.2</v>
      </c>
      <c r="F53" s="493"/>
      <c r="G53" s="31">
        <v>10</v>
      </c>
      <c r="H53" s="289">
        <v>50.7</v>
      </c>
      <c r="I53" s="107">
        <v>64.599999999999994</v>
      </c>
      <c r="K53" s="491"/>
      <c r="L53" s="65">
        <v>6.3</v>
      </c>
      <c r="M53" s="285">
        <v>20.77</v>
      </c>
      <c r="N53" s="102">
        <v>26.46</v>
      </c>
      <c r="O53" s="119"/>
      <c r="P53" s="120"/>
      <c r="Q53" s="120"/>
      <c r="R53" s="121"/>
      <c r="T53" s="499">
        <v>120</v>
      </c>
      <c r="U53" s="65">
        <v>40</v>
      </c>
      <c r="V53" s="496" t="s">
        <v>305</v>
      </c>
      <c r="W53" s="38"/>
      <c r="X53" s="38"/>
      <c r="Y53" s="41"/>
      <c r="Z53" s="41">
        <v>4.8899999999999997</v>
      </c>
      <c r="AA53" s="41">
        <v>6.07</v>
      </c>
      <c r="AB53" s="41">
        <v>7.1</v>
      </c>
      <c r="AC53" s="41">
        <v>9.2799999999999994</v>
      </c>
      <c r="AD53" s="103">
        <v>11.3</v>
      </c>
    </row>
    <row r="54" spans="2:30" ht="15" customHeight="1" thickBot="1">
      <c r="B54" s="489"/>
      <c r="C54" s="108">
        <v>7.1</v>
      </c>
      <c r="D54" s="290">
        <v>19.399999999999999</v>
      </c>
      <c r="E54" s="106">
        <v>24.7</v>
      </c>
      <c r="F54" s="494"/>
      <c r="G54" s="108">
        <v>12.5</v>
      </c>
      <c r="H54" s="290">
        <v>61.5</v>
      </c>
      <c r="I54" s="109">
        <v>78.400000000000006</v>
      </c>
      <c r="K54" s="495"/>
      <c r="L54" s="66">
        <v>7.1</v>
      </c>
      <c r="M54" s="286">
        <v>22.7</v>
      </c>
      <c r="N54" s="104">
        <v>28.9</v>
      </c>
      <c r="O54" s="122"/>
      <c r="P54" s="74"/>
      <c r="Q54" s="74"/>
      <c r="R54" s="123"/>
      <c r="T54" s="500"/>
      <c r="U54" s="66">
        <v>60</v>
      </c>
      <c r="V54" s="501"/>
      <c r="W54" s="39"/>
      <c r="X54" s="39"/>
      <c r="Y54" s="42"/>
      <c r="Z54" s="42">
        <v>5.52</v>
      </c>
      <c r="AA54" s="42">
        <v>6.86</v>
      </c>
      <c r="AB54" s="42">
        <v>8.0399999999999991</v>
      </c>
      <c r="AC54" s="42">
        <v>10.5</v>
      </c>
      <c r="AD54" s="104">
        <v>12.8</v>
      </c>
    </row>
    <row r="55" spans="2:30" ht="15" customHeight="1" thickTop="1"/>
    <row r="56" spans="2:30" ht="15" customHeight="1"/>
    <row r="57" spans="2:30" ht="15" customHeight="1"/>
    <row r="58" spans="2:30" ht="15" customHeight="1"/>
    <row r="59" spans="2:30" ht="15" customHeight="1"/>
  </sheetData>
  <customSheetViews>
    <customSheetView guid="{C0BE45DA-73C0-4B1E-ABFB-A0FAB57D4E46}" showGridLines="0" showRuler="0">
      <pane xSplit="1" ySplit="4" topLeftCell="B5" activePane="bottomRight" state="frozen"/>
      <selection pane="bottomRight" activeCell="B3" sqref="B3"/>
      <pageMargins left="0.75" right="0.75" top="1" bottom="1" header="0.5" footer="0.5"/>
      <headerFooter alignWithMargins="0"/>
    </customSheetView>
  </customSheetViews>
  <mergeCells count="62">
    <mergeCell ref="B2:I2"/>
    <mergeCell ref="F5:F10"/>
    <mergeCell ref="F11:F17"/>
    <mergeCell ref="B5:B6"/>
    <mergeCell ref="B10:B13"/>
    <mergeCell ref="B14:B19"/>
    <mergeCell ref="F18:F24"/>
    <mergeCell ref="B20:B25"/>
    <mergeCell ref="F25:F30"/>
    <mergeCell ref="B26:B31"/>
    <mergeCell ref="F31:F36"/>
    <mergeCell ref="B7:B9"/>
    <mergeCell ref="B32:B37"/>
    <mergeCell ref="K15:K20"/>
    <mergeCell ref="K44:K49"/>
    <mergeCell ref="O12:O18"/>
    <mergeCell ref="K33:K37"/>
    <mergeCell ref="O26:O31"/>
    <mergeCell ref="O32:O37"/>
    <mergeCell ref="K21:K26"/>
    <mergeCell ref="K27:K32"/>
    <mergeCell ref="O38:O43"/>
    <mergeCell ref="O19:O25"/>
    <mergeCell ref="W3:AD3"/>
    <mergeCell ref="T2:AD2"/>
    <mergeCell ref="T7:T9"/>
    <mergeCell ref="V7:V9"/>
    <mergeCell ref="O5:O11"/>
    <mergeCell ref="K2:R2"/>
    <mergeCell ref="K5:K8"/>
    <mergeCell ref="K9:K14"/>
    <mergeCell ref="T16:T17"/>
    <mergeCell ref="T10:T11"/>
    <mergeCell ref="V10:V11"/>
    <mergeCell ref="T12:T15"/>
    <mergeCell ref="V12:V15"/>
    <mergeCell ref="V16:V17"/>
    <mergeCell ref="V34:V38"/>
    <mergeCell ref="T27:T32"/>
    <mergeCell ref="V27:V32"/>
    <mergeCell ref="T18:T20"/>
    <mergeCell ref="V18:V20"/>
    <mergeCell ref="T22:T25"/>
    <mergeCell ref="V22:V25"/>
    <mergeCell ref="T34:T38"/>
    <mergeCell ref="V48:V52"/>
    <mergeCell ref="T53:T54"/>
    <mergeCell ref="V53:V54"/>
    <mergeCell ref="T39:T40"/>
    <mergeCell ref="V39:V40"/>
    <mergeCell ref="T41:T46"/>
    <mergeCell ref="V41:V46"/>
    <mergeCell ref="T48:T52"/>
    <mergeCell ref="B38:B42"/>
    <mergeCell ref="B43:B48"/>
    <mergeCell ref="B49:B54"/>
    <mergeCell ref="O44:O50"/>
    <mergeCell ref="F43:F48"/>
    <mergeCell ref="F49:F54"/>
    <mergeCell ref="K38:K43"/>
    <mergeCell ref="K50:K54"/>
    <mergeCell ref="F37:F42"/>
  </mergeCells>
  <phoneticPr fontId="2" type="noConversion"/>
  <pageMargins left="0.75" right="0.75" top="1" bottom="1" header="0.5" footer="0.5"/>
  <pageSetup paperSize="9" scale="85" orientation="portrait" horizontalDpi="4294967293" r:id="rId1"/>
  <headerFooter alignWithMargins="0"/>
  <colBreaks count="2" manualBreakCount="2">
    <brk id="9" max="53" man="1"/>
    <brk id="18" max="5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26</vt:i4>
      </vt:variant>
      <vt:variant>
        <vt:lpstr>Adlandırılmış Aralıklar</vt:lpstr>
      </vt:variant>
      <vt:variant>
        <vt:i4>23</vt:i4>
      </vt:variant>
    </vt:vector>
  </HeadingPairs>
  <TitlesOfParts>
    <vt:vector size="49" baseType="lpstr">
      <vt:lpstr>CIVATA SOMUN RONDELA</vt:lpstr>
      <vt:lpstr>SIGMA</vt:lpstr>
      <vt:lpstr>DEMİR</vt:lpstr>
      <vt:lpstr>HASIR ÇELİK</vt:lpstr>
      <vt:lpstr>NPI PRF.</vt:lpstr>
      <vt:lpstr>U PRF.</vt:lpstr>
      <vt:lpstr>L PRF.</vt:lpstr>
      <vt:lpstr>HE</vt:lpstr>
      <vt:lpstr>KUTU PRF.</vt:lpstr>
      <vt:lpstr>ÇELİK LEVHA</vt:lpstr>
      <vt:lpstr>LAMA</vt:lpstr>
      <vt:lpstr>METAL LEVHA GENEL</vt:lpstr>
      <vt:lpstr>LEVHALAR</vt:lpstr>
      <vt:lpstr>PLATİNA</vt:lpstr>
      <vt:lpstr>T PRF.</vt:lpstr>
      <vt:lpstr>OMEGA PRF.</vt:lpstr>
      <vt:lpstr>BORULAR</vt:lpstr>
      <vt:lpstr>BORULAR-2</vt:lpstr>
      <vt:lpstr>BETON</vt:lpstr>
      <vt:lpstr>NAKLİYE İÇİN YOĞUNLUKLAR</vt:lpstr>
      <vt:lpstr>MLZ. YOĞUNLUK</vt:lpstr>
      <vt:lpstr>YAPI YAKLAŞIK MALİYET</vt:lpstr>
      <vt:lpstr>PRATİK KABULLER</vt:lpstr>
      <vt:lpstr>ÇELİK HASIR-KESİT TABLOSU</vt:lpstr>
      <vt:lpstr>DEMİR KESİT ALANLARI</vt:lpstr>
      <vt:lpstr>BAKLAVALI SACLAR</vt:lpstr>
      <vt:lpstr>BETON!Yazdırma_Alanı</vt:lpstr>
      <vt:lpstr>BORULAR!Yazdırma_Alanı</vt:lpstr>
      <vt:lpstr>'ÇELİK HASIR-KESİT TABLOSU'!Yazdırma_Alanı</vt:lpstr>
      <vt:lpstr>'ÇELİK LEVHA'!Yazdırma_Alanı</vt:lpstr>
      <vt:lpstr>DEMİR!Yazdırma_Alanı</vt:lpstr>
      <vt:lpstr>'DEMİR KESİT ALANLARI'!Yazdırma_Alanı</vt:lpstr>
      <vt:lpstr>'HASIR ÇELİK'!Yazdırma_Alanı</vt:lpstr>
      <vt:lpstr>'KUTU PRF.'!Yazdırma_Alanı</vt:lpstr>
      <vt:lpstr>'L PRF.'!Yazdırma_Alanı</vt:lpstr>
      <vt:lpstr>LAMA!Yazdırma_Alanı</vt:lpstr>
      <vt:lpstr>LEVHALAR!Yazdırma_Alanı</vt:lpstr>
      <vt:lpstr>'METAL LEVHA GENEL'!Yazdırma_Alanı</vt:lpstr>
      <vt:lpstr>'MLZ. YOĞUNLUK'!Yazdırma_Alanı</vt:lpstr>
      <vt:lpstr>'NAKLİYE İÇİN YOĞUNLUKLAR'!Yazdırma_Alanı</vt:lpstr>
      <vt:lpstr>'NPI PRF.'!Yazdırma_Alanı</vt:lpstr>
      <vt:lpstr>'OMEGA PRF.'!Yazdırma_Alanı</vt:lpstr>
      <vt:lpstr>PLATİNA!Yazdırma_Alanı</vt:lpstr>
      <vt:lpstr>'PRATİK KABULLER'!Yazdırma_Alanı</vt:lpstr>
      <vt:lpstr>'T PRF.'!Yazdırma_Alanı</vt:lpstr>
      <vt:lpstr>'U PRF.'!Yazdırma_Alanı</vt:lpstr>
      <vt:lpstr>'YAPI YAKLAŞIK MALİYET'!Yazdırma_Alanı</vt:lpstr>
      <vt:lpstr>'HASIR ÇELİK'!Yazdırma_Başlıkları</vt:lpstr>
      <vt:lpstr>'L PRF.'!Yazdırma_Başlıkları</vt:lpstr>
    </vt:vector>
  </TitlesOfParts>
  <Company>my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Süleyman ÖZYÜKSEL</dc:creator>
  <cp:lastModifiedBy>nsimsek@hotmail.com</cp:lastModifiedBy>
  <cp:lastPrinted>2007-03-25T14:47:54Z</cp:lastPrinted>
  <dcterms:created xsi:type="dcterms:W3CDTF">2007-03-16T14:42:04Z</dcterms:created>
  <dcterms:modified xsi:type="dcterms:W3CDTF">2017-10-29T08:22:31Z</dcterms:modified>
</cp:coreProperties>
</file>